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6년노후서버교체\020-아키텍처정의서\JBoss\01. 미들웨어 설치결과서\"/>
    </mc:Choice>
  </mc:AlternateContent>
  <bookViews>
    <workbookView xWindow="0" yWindow="0" windowWidth="21525" windowHeight="11940" activeTab="4"/>
  </bookViews>
  <sheets>
    <sheet name="JBoss EAP(WAS&amp;JVM 설정)" sheetId="52" r:id="rId1"/>
    <sheet name="JBoss EWS(설정)" sheetId="53" r:id="rId2"/>
    <sheet name="Domain별 코드 체계" sheetId="33" r:id="rId3"/>
    <sheet name="WAS Domain" sheetId="6" r:id="rId4"/>
    <sheet name="WAS Instance" sheetId="22" r:id="rId5"/>
    <sheet name="AS-IS 도메인정보" sheetId="45" r:id="rId6"/>
    <sheet name="서버설치결과" sheetId="51" r:id="rId7"/>
  </sheets>
  <definedNames>
    <definedName name="_xlnm._FilterDatabase" localSheetId="2" hidden="1">'Domain별 코드 체계'!$A$4:$L$29</definedName>
    <definedName name="_xlnm._FilterDatabase" localSheetId="0" hidden="1">'JBoss EAP(WAS&amp;JVM 설정)'!$A$2:$H$25</definedName>
    <definedName name="_xlnm._FilterDatabase" localSheetId="3" hidden="1">'WAS Domain'!$A$10:$W$10</definedName>
    <definedName name="_xlnm._FilterDatabase" localSheetId="4" hidden="1">'WAS Instance'!$A$6:$AJ$99</definedName>
    <definedName name="_xlnm._FilterDatabase" localSheetId="6" hidden="1">서버설치결과!$A$6:$AB$92</definedName>
  </definedNames>
  <calcPr calcId="152511"/>
</workbook>
</file>

<file path=xl/calcChain.xml><?xml version="1.0" encoding="utf-8"?>
<calcChain xmlns="http://schemas.openxmlformats.org/spreadsheetml/2006/main">
  <c r="AE98" i="22" l="1"/>
  <c r="AE94" i="22"/>
  <c r="AE95" i="22"/>
  <c r="AE96" i="22"/>
  <c r="AE97" i="22"/>
  <c r="AE93" i="22"/>
  <c r="AE92" i="22"/>
  <c r="AE91" i="22"/>
  <c r="AE87" i="22"/>
  <c r="AE88" i="22"/>
  <c r="AE89" i="22"/>
  <c r="AE90" i="22"/>
  <c r="AE86" i="22"/>
  <c r="AE85" i="22"/>
  <c r="AE83" i="22"/>
  <c r="AE65" i="22"/>
  <c r="AE66" i="22"/>
  <c r="AE67" i="22"/>
  <c r="AE68" i="22"/>
  <c r="AE69" i="22"/>
  <c r="AE70" i="22"/>
  <c r="AE71" i="22"/>
  <c r="AE72" i="22"/>
  <c r="AE73" i="22"/>
  <c r="AE74" i="22"/>
  <c r="AE75" i="22"/>
  <c r="AE76" i="22"/>
  <c r="AE77" i="22"/>
  <c r="AE78" i="22"/>
  <c r="AE79" i="22"/>
  <c r="AE80" i="22"/>
  <c r="AE81" i="22"/>
  <c r="AE82" i="22"/>
  <c r="AE64" i="22"/>
  <c r="AE62" i="22"/>
  <c r="AE61" i="22"/>
  <c r="AE60" i="22"/>
  <c r="AE59" i="22"/>
  <c r="AE57" i="22"/>
  <c r="AE42" i="22"/>
  <c r="AE43" i="22"/>
  <c r="AE44" i="22"/>
  <c r="AE45" i="22"/>
  <c r="AE46" i="22"/>
  <c r="AE47" i="22"/>
  <c r="AE48" i="22"/>
  <c r="AE49" i="22"/>
  <c r="AE50" i="22"/>
  <c r="AE51" i="22"/>
  <c r="AE52" i="22"/>
  <c r="AE53" i="22"/>
  <c r="AE54" i="22"/>
  <c r="AE55" i="22"/>
  <c r="AE56" i="22"/>
  <c r="AE41" i="22"/>
  <c r="AE40" i="22"/>
  <c r="AE25" i="22"/>
  <c r="AE26" i="22"/>
  <c r="AE27" i="22"/>
  <c r="AE28" i="22"/>
  <c r="AE29" i="22"/>
  <c r="AE30" i="22"/>
  <c r="AE31" i="22"/>
  <c r="AE32" i="22"/>
  <c r="AE33" i="22"/>
  <c r="AE34" i="22"/>
  <c r="AE35" i="22"/>
  <c r="AE36" i="22"/>
  <c r="AE37" i="22"/>
  <c r="AE38" i="22"/>
  <c r="AE39" i="22"/>
  <c r="AE24" i="22"/>
  <c r="AE22" i="22"/>
  <c r="AE16" i="22"/>
  <c r="AE17" i="22"/>
  <c r="AE18" i="22"/>
  <c r="AE19" i="22"/>
  <c r="AE20" i="22"/>
  <c r="AE21" i="22"/>
  <c r="AE15" i="22"/>
  <c r="AE9" i="22"/>
  <c r="AE10" i="22"/>
  <c r="AE11" i="22"/>
  <c r="AE12" i="22"/>
  <c r="AE13" i="22"/>
  <c r="AE14" i="22"/>
  <c r="AE8" i="22"/>
  <c r="AE7" i="22"/>
  <c r="N19" i="22" l="1"/>
  <c r="N18" i="22"/>
  <c r="N11" i="22"/>
  <c r="N10" i="22"/>
  <c r="Y19" i="22" l="1"/>
  <c r="Z19" i="22" s="1"/>
  <c r="AA19" i="22" s="1"/>
  <c r="H19" i="22"/>
  <c r="F19" i="22"/>
  <c r="E19" i="22"/>
  <c r="Y11" i="22"/>
  <c r="Z11" i="22" s="1"/>
  <c r="AA11" i="22" s="1"/>
  <c r="H11" i="22"/>
  <c r="F11" i="22"/>
  <c r="E11" i="22"/>
  <c r="P19" i="22" l="1"/>
  <c r="T19" i="22" s="1"/>
  <c r="J19" i="22"/>
  <c r="AB19" i="22"/>
  <c r="AC19" i="22" s="1"/>
  <c r="P11" i="22"/>
  <c r="T11" i="22" s="1"/>
  <c r="J11" i="22"/>
  <c r="AB11" i="22"/>
  <c r="AC11" i="22" s="1"/>
  <c r="Y21" i="22"/>
  <c r="AB21" i="22" s="1"/>
  <c r="AC21" i="22" s="1"/>
  <c r="H21" i="22"/>
  <c r="F21" i="22"/>
  <c r="E21" i="22"/>
  <c r="Y13" i="22"/>
  <c r="Z13" i="22" s="1"/>
  <c r="AA13" i="22" s="1"/>
  <c r="H13" i="22"/>
  <c r="F13" i="22"/>
  <c r="E13" i="22"/>
  <c r="Y97" i="22"/>
  <c r="AB97" i="22" s="1"/>
  <c r="AC97" i="22" s="1"/>
  <c r="H97" i="22"/>
  <c r="F97" i="22"/>
  <c r="E97" i="22"/>
  <c r="Y90" i="22"/>
  <c r="AB90" i="22" s="1"/>
  <c r="AC90" i="22" s="1"/>
  <c r="H90" i="22"/>
  <c r="F90" i="22"/>
  <c r="E90" i="22"/>
  <c r="E15" i="6"/>
  <c r="T15" i="6" s="1"/>
  <c r="J15" i="6"/>
  <c r="H68" i="22"/>
  <c r="AB68" i="22"/>
  <c r="AC68" i="22" s="1"/>
  <c r="Y68" i="22"/>
  <c r="Z68" i="22" s="1"/>
  <c r="AA68" i="22" s="1"/>
  <c r="F68" i="22"/>
  <c r="E68" i="22"/>
  <c r="I9" i="33"/>
  <c r="M19" i="22" l="1"/>
  <c r="AF19" i="22" s="1"/>
  <c r="X19" i="22"/>
  <c r="S19" i="22"/>
  <c r="R19" i="22"/>
  <c r="Q19" i="22"/>
  <c r="M11" i="22"/>
  <c r="AF11" i="22" s="1"/>
  <c r="X11" i="22"/>
  <c r="S11" i="22"/>
  <c r="R11" i="22"/>
  <c r="Q11" i="22"/>
  <c r="Z21" i="22"/>
  <c r="AA21" i="22" s="1"/>
  <c r="J21" i="22"/>
  <c r="AB13" i="22"/>
  <c r="AC13" i="22" s="1"/>
  <c r="J13" i="22"/>
  <c r="Z97" i="22"/>
  <c r="AA97" i="22" s="1"/>
  <c r="J97" i="22"/>
  <c r="M97" i="22" s="1"/>
  <c r="AF97" i="22" s="1"/>
  <c r="Z90" i="22"/>
  <c r="AA90" i="22" s="1"/>
  <c r="J90" i="22"/>
  <c r="N15" i="6"/>
  <c r="Q15" i="6"/>
  <c r="K15" i="6"/>
  <c r="J68" i="22"/>
  <c r="G91" i="51"/>
  <c r="G85" i="51"/>
  <c r="N90" i="51"/>
  <c r="Q90" i="51" s="1"/>
  <c r="R90" i="51" s="1"/>
  <c r="G90" i="51"/>
  <c r="I90" i="51" s="1"/>
  <c r="E90" i="51"/>
  <c r="N84" i="51"/>
  <c r="Q84" i="51" s="1"/>
  <c r="R84" i="51" s="1"/>
  <c r="G84" i="51"/>
  <c r="AD84" i="51" s="1"/>
  <c r="E84" i="51"/>
  <c r="G78" i="51"/>
  <c r="N77" i="51"/>
  <c r="Q77" i="51" s="1"/>
  <c r="R77" i="51" s="1"/>
  <c r="G77" i="51"/>
  <c r="AD77" i="51" s="1"/>
  <c r="E77" i="51"/>
  <c r="G18" i="51"/>
  <c r="G12" i="51"/>
  <c r="N17" i="51"/>
  <c r="Q17" i="51" s="1"/>
  <c r="R17" i="51" s="1"/>
  <c r="G17" i="51"/>
  <c r="AD17" i="51" s="1"/>
  <c r="E17" i="51"/>
  <c r="N11" i="51"/>
  <c r="Q11" i="51" s="1"/>
  <c r="R11" i="51" s="1"/>
  <c r="G11" i="51"/>
  <c r="AD11" i="51" s="1"/>
  <c r="E11" i="51"/>
  <c r="H22" i="22"/>
  <c r="H14" i="22"/>
  <c r="AB20" i="22"/>
  <c r="AC20" i="22" s="1"/>
  <c r="Z20" i="22"/>
  <c r="AA20" i="22" s="1"/>
  <c r="Y20" i="22"/>
  <c r="H20" i="22"/>
  <c r="F20" i="22"/>
  <c r="E20" i="22"/>
  <c r="AB12" i="22"/>
  <c r="AC12" i="22" s="1"/>
  <c r="Z12" i="22"/>
  <c r="AA12" i="22" s="1"/>
  <c r="Y12" i="22"/>
  <c r="H12" i="22"/>
  <c r="F12" i="22"/>
  <c r="E12" i="22"/>
  <c r="H98" i="22"/>
  <c r="H91" i="22"/>
  <c r="Y96" i="22"/>
  <c r="Z96" i="22" s="1"/>
  <c r="AA96" i="22" s="1"/>
  <c r="H96" i="22"/>
  <c r="F96" i="22"/>
  <c r="E96" i="22"/>
  <c r="Y89" i="22"/>
  <c r="Z89" i="22" s="1"/>
  <c r="AA89" i="22" s="1"/>
  <c r="H89" i="22"/>
  <c r="F89" i="22"/>
  <c r="E89" i="22"/>
  <c r="O11" i="51" l="1"/>
  <c r="P11" i="51" s="1"/>
  <c r="O77" i="51"/>
  <c r="P77" i="51" s="1"/>
  <c r="X21" i="22"/>
  <c r="M21" i="22"/>
  <c r="AF21" i="22" s="1"/>
  <c r="X97" i="22"/>
  <c r="X13" i="22"/>
  <c r="M13" i="22"/>
  <c r="AF13" i="22" s="1"/>
  <c r="X90" i="22"/>
  <c r="M90" i="22"/>
  <c r="AF90" i="22" s="1"/>
  <c r="M68" i="22"/>
  <c r="AF68" i="22" s="1"/>
  <c r="X68" i="22"/>
  <c r="U90" i="51"/>
  <c r="AD90" i="51"/>
  <c r="M90" i="51"/>
  <c r="L90" i="51"/>
  <c r="O90" i="51"/>
  <c r="P90" i="51" s="1"/>
  <c r="I77" i="51"/>
  <c r="L77" i="51" s="1"/>
  <c r="I84" i="51"/>
  <c r="O84" i="51"/>
  <c r="P84" i="51" s="1"/>
  <c r="U84" i="51"/>
  <c r="U77" i="51"/>
  <c r="O17" i="51"/>
  <c r="P17" i="51" s="1"/>
  <c r="I17" i="51"/>
  <c r="U17" i="51"/>
  <c r="I11" i="51"/>
  <c r="U11" i="51"/>
  <c r="J20" i="22"/>
  <c r="J12" i="22"/>
  <c r="AB96" i="22"/>
  <c r="AC96" i="22" s="1"/>
  <c r="J96" i="22"/>
  <c r="AB89" i="22"/>
  <c r="AC89" i="22" s="1"/>
  <c r="J89" i="22"/>
  <c r="AE90" i="51" l="1"/>
  <c r="T90" i="51"/>
  <c r="AC90" i="51"/>
  <c r="T77" i="51"/>
  <c r="V90" i="51"/>
  <c r="M77" i="51"/>
  <c r="M84" i="51"/>
  <c r="L84" i="51"/>
  <c r="V77" i="51"/>
  <c r="AC77" i="51"/>
  <c r="AE77" i="51"/>
  <c r="M17" i="51"/>
  <c r="L17" i="51"/>
  <c r="M11" i="51"/>
  <c r="L11" i="51"/>
  <c r="X20" i="22"/>
  <c r="M20" i="22"/>
  <c r="AF20" i="22" s="1"/>
  <c r="X12" i="22"/>
  <c r="M12" i="22"/>
  <c r="AF12" i="22" s="1"/>
  <c r="X96" i="22"/>
  <c r="M96" i="22"/>
  <c r="AF96" i="22" s="1"/>
  <c r="X89" i="22"/>
  <c r="M89" i="22"/>
  <c r="AF89" i="22" s="1"/>
  <c r="T84" i="51" l="1"/>
  <c r="V84" i="51"/>
  <c r="AC84" i="51"/>
  <c r="AE84" i="51"/>
  <c r="AE11" i="51"/>
  <c r="AC11" i="51"/>
  <c r="T17" i="51"/>
  <c r="V17" i="51"/>
  <c r="AC17" i="51"/>
  <c r="AE17" i="51"/>
  <c r="T11" i="51"/>
  <c r="V11" i="51"/>
  <c r="H83" i="22" l="1"/>
  <c r="H82" i="22"/>
  <c r="AB82" i="22"/>
  <c r="AC82" i="22" s="1"/>
  <c r="Z82" i="22"/>
  <c r="AA82" i="22" s="1"/>
  <c r="Y82" i="22"/>
  <c r="F82" i="22"/>
  <c r="E82" i="22"/>
  <c r="E27" i="6"/>
  <c r="I30" i="33"/>
  <c r="J27" i="6"/>
  <c r="T27" i="6" l="1"/>
  <c r="J82" i="22"/>
  <c r="Q27" i="6"/>
  <c r="K27" i="6"/>
  <c r="N27" i="6"/>
  <c r="V58" i="22"/>
  <c r="M82" i="22" l="1"/>
  <c r="AF82" i="22" s="1"/>
  <c r="X82" i="22"/>
  <c r="E98" i="22"/>
  <c r="E94" i="22"/>
  <c r="E95" i="22"/>
  <c r="E93" i="22"/>
  <c r="E92" i="22"/>
  <c r="E91" i="22"/>
  <c r="E86" i="22"/>
  <c r="E87" i="22"/>
  <c r="E88" i="22"/>
  <c r="E85" i="22"/>
  <c r="F62" i="22" l="1"/>
  <c r="E22" i="22"/>
  <c r="E65" i="22" l="1"/>
  <c r="E66" i="22"/>
  <c r="E67" i="22"/>
  <c r="E69" i="22"/>
  <c r="E70" i="22"/>
  <c r="E71" i="22"/>
  <c r="E72" i="22"/>
  <c r="E73" i="22"/>
  <c r="E77" i="22"/>
  <c r="E74" i="22"/>
  <c r="E75" i="22"/>
  <c r="E76" i="22"/>
  <c r="E78" i="22"/>
  <c r="E79" i="22"/>
  <c r="E80" i="22"/>
  <c r="E81" i="22"/>
  <c r="E83" i="22"/>
  <c r="E64" i="22"/>
  <c r="F60" i="22"/>
  <c r="F61" i="22"/>
  <c r="F59" i="22"/>
  <c r="E60" i="22"/>
  <c r="E61" i="22"/>
  <c r="E62" i="22"/>
  <c r="E59" i="22"/>
  <c r="E54" i="22"/>
  <c r="E55" i="22"/>
  <c r="E56" i="22"/>
  <c r="E57" i="22"/>
  <c r="E53" i="22"/>
  <c r="F53" i="22"/>
  <c r="F54" i="22"/>
  <c r="F55" i="22"/>
  <c r="F56" i="22"/>
  <c r="F57" i="22"/>
  <c r="F37" i="22"/>
  <c r="F38" i="22"/>
  <c r="F39" i="22"/>
  <c r="F40" i="22"/>
  <c r="F36" i="22"/>
  <c r="E37" i="22"/>
  <c r="E38" i="22"/>
  <c r="E39" i="22"/>
  <c r="E40" i="22"/>
  <c r="E36" i="22"/>
  <c r="F42" i="22"/>
  <c r="F43" i="22"/>
  <c r="F44" i="22"/>
  <c r="F45" i="22"/>
  <c r="F46" i="22"/>
  <c r="F47" i="22"/>
  <c r="F48" i="22"/>
  <c r="F49" i="22"/>
  <c r="F50" i="22"/>
  <c r="F51" i="22"/>
  <c r="F52" i="22"/>
  <c r="E42" i="22"/>
  <c r="E43" i="22"/>
  <c r="E44" i="22"/>
  <c r="E45" i="22"/>
  <c r="E46" i="22"/>
  <c r="E47" i="22"/>
  <c r="E48" i="22"/>
  <c r="E49" i="22"/>
  <c r="E50" i="22"/>
  <c r="E51" i="22"/>
  <c r="E52" i="22"/>
  <c r="F41" i="22"/>
  <c r="E41" i="22"/>
  <c r="F25" i="22"/>
  <c r="F26" i="22"/>
  <c r="F27" i="22"/>
  <c r="F28" i="22"/>
  <c r="F29" i="22"/>
  <c r="F30" i="22"/>
  <c r="F31" i="22"/>
  <c r="F32" i="22"/>
  <c r="F33" i="22"/>
  <c r="F34" i="22"/>
  <c r="F35" i="22"/>
  <c r="F24" i="22"/>
  <c r="E25" i="22"/>
  <c r="E26" i="22"/>
  <c r="E27" i="22"/>
  <c r="E28" i="22"/>
  <c r="E29" i="22"/>
  <c r="E30" i="22"/>
  <c r="E31" i="22"/>
  <c r="E32" i="22"/>
  <c r="E33" i="22"/>
  <c r="E34" i="22"/>
  <c r="E35" i="22"/>
  <c r="E24" i="22"/>
  <c r="F23" i="22"/>
  <c r="E23" i="22"/>
  <c r="F8" i="22"/>
  <c r="F9" i="22"/>
  <c r="F10" i="22"/>
  <c r="F14" i="22"/>
  <c r="F15" i="22"/>
  <c r="F16" i="22"/>
  <c r="F17" i="22"/>
  <c r="F18" i="22"/>
  <c r="F22" i="22"/>
  <c r="F7" i="22"/>
  <c r="E15" i="22"/>
  <c r="E9" i="22"/>
  <c r="E10" i="22"/>
  <c r="E14" i="22"/>
  <c r="E16" i="22"/>
  <c r="E17" i="22"/>
  <c r="E18" i="22"/>
  <c r="E8" i="22"/>
  <c r="E7" i="22"/>
  <c r="AE19" i="51" l="1"/>
  <c r="AE54" i="51"/>
  <c r="AE59" i="51"/>
  <c r="AE79" i="51"/>
  <c r="AD19" i="51"/>
  <c r="AD54" i="51"/>
  <c r="AD59" i="51"/>
  <c r="AD79" i="51"/>
  <c r="AD92" i="51"/>
  <c r="AC19" i="51" l="1"/>
  <c r="AC54" i="51"/>
  <c r="AC59" i="51"/>
  <c r="AC79" i="51"/>
  <c r="AC92" i="51"/>
  <c r="T19" i="51"/>
  <c r="T79" i="51"/>
  <c r="T59" i="51"/>
  <c r="T54" i="51"/>
  <c r="N91" i="51" l="1"/>
  <c r="O91" i="51" s="1"/>
  <c r="P91" i="51" s="1"/>
  <c r="E91" i="51"/>
  <c r="N89" i="51"/>
  <c r="O89" i="51" s="1"/>
  <c r="P89" i="51" s="1"/>
  <c r="G89" i="51"/>
  <c r="E89" i="51"/>
  <c r="N88" i="51"/>
  <c r="G88" i="51"/>
  <c r="E88" i="51"/>
  <c r="N87" i="51"/>
  <c r="O87" i="51" s="1"/>
  <c r="P87" i="51" s="1"/>
  <c r="G87" i="51"/>
  <c r="E87" i="51"/>
  <c r="N86" i="51"/>
  <c r="O86" i="51" s="1"/>
  <c r="P86" i="51" s="1"/>
  <c r="G86" i="51"/>
  <c r="E86" i="51"/>
  <c r="N85" i="51"/>
  <c r="Q85" i="51" s="1"/>
  <c r="R85" i="51" s="1"/>
  <c r="E85" i="51"/>
  <c r="N83" i="51"/>
  <c r="G83" i="51"/>
  <c r="E83" i="51"/>
  <c r="N82" i="51"/>
  <c r="O82" i="51" s="1"/>
  <c r="P82" i="51" s="1"/>
  <c r="G82" i="51"/>
  <c r="E82" i="51"/>
  <c r="N81" i="51"/>
  <c r="O81" i="51" s="1"/>
  <c r="P81" i="51" s="1"/>
  <c r="G81" i="51"/>
  <c r="E81" i="51"/>
  <c r="N80" i="51"/>
  <c r="Q80" i="51" s="1"/>
  <c r="R80" i="51" s="1"/>
  <c r="G80" i="51"/>
  <c r="E80" i="51"/>
  <c r="N78" i="51"/>
  <c r="O78" i="51" s="1"/>
  <c r="P78" i="51" s="1"/>
  <c r="E78" i="51"/>
  <c r="N76" i="51"/>
  <c r="Q76" i="51" s="1"/>
  <c r="R76" i="51" s="1"/>
  <c r="G76" i="51"/>
  <c r="E76" i="51"/>
  <c r="N75" i="51"/>
  <c r="G75" i="51"/>
  <c r="E75" i="51"/>
  <c r="N74" i="51"/>
  <c r="O74" i="51" s="1"/>
  <c r="P74" i="51" s="1"/>
  <c r="G74" i="51"/>
  <c r="E74" i="51"/>
  <c r="N73" i="51"/>
  <c r="Q73" i="51" s="1"/>
  <c r="R73" i="51" s="1"/>
  <c r="G73" i="51"/>
  <c r="E73" i="51"/>
  <c r="N71" i="51"/>
  <c r="Q71" i="51" s="1"/>
  <c r="R71" i="51" s="1"/>
  <c r="G71" i="51"/>
  <c r="E71" i="51"/>
  <c r="N70" i="51"/>
  <c r="Q70" i="51" s="1"/>
  <c r="R70" i="51" s="1"/>
  <c r="G70" i="51"/>
  <c r="E70" i="51"/>
  <c r="N69" i="51"/>
  <c r="O69" i="51" s="1"/>
  <c r="P69" i="51" s="1"/>
  <c r="G69" i="51"/>
  <c r="E69" i="51"/>
  <c r="N72" i="51"/>
  <c r="Q72" i="51" s="1"/>
  <c r="R72" i="51" s="1"/>
  <c r="G72" i="51"/>
  <c r="E72" i="51"/>
  <c r="N68" i="51"/>
  <c r="Q68" i="51" s="1"/>
  <c r="R68" i="51" s="1"/>
  <c r="G68" i="51"/>
  <c r="E68" i="51"/>
  <c r="N67" i="51"/>
  <c r="Q67" i="51" s="1"/>
  <c r="R67" i="51" s="1"/>
  <c r="G67" i="51"/>
  <c r="E67" i="51"/>
  <c r="N66" i="51"/>
  <c r="O66" i="51" s="1"/>
  <c r="P66" i="51" s="1"/>
  <c r="G66" i="51"/>
  <c r="E66" i="51"/>
  <c r="N65" i="51"/>
  <c r="G65" i="51"/>
  <c r="E65" i="51"/>
  <c r="N64" i="51"/>
  <c r="Q64" i="51" s="1"/>
  <c r="R64" i="51" s="1"/>
  <c r="G64" i="51"/>
  <c r="E64" i="51"/>
  <c r="N63" i="51"/>
  <c r="G63" i="51"/>
  <c r="E63" i="51"/>
  <c r="N62" i="51"/>
  <c r="O62" i="51" s="1"/>
  <c r="P62" i="51" s="1"/>
  <c r="G62" i="51"/>
  <c r="E62" i="51"/>
  <c r="N61" i="51"/>
  <c r="G61" i="51"/>
  <c r="E61" i="51"/>
  <c r="N60" i="51"/>
  <c r="O60" i="51" s="1"/>
  <c r="P60" i="51" s="1"/>
  <c r="G60" i="51"/>
  <c r="E60" i="51"/>
  <c r="N58" i="51"/>
  <c r="Q58" i="51" s="1"/>
  <c r="R58" i="51" s="1"/>
  <c r="G58" i="51"/>
  <c r="E58" i="51"/>
  <c r="N57" i="51"/>
  <c r="Q57" i="51" s="1"/>
  <c r="R57" i="51" s="1"/>
  <c r="G57" i="51"/>
  <c r="AD57" i="51" s="1"/>
  <c r="E57" i="51"/>
  <c r="N56" i="51"/>
  <c r="O56" i="51" s="1"/>
  <c r="P56" i="51" s="1"/>
  <c r="G56" i="51"/>
  <c r="E56" i="51"/>
  <c r="N55" i="51"/>
  <c r="O55" i="51" s="1"/>
  <c r="P55" i="51" s="1"/>
  <c r="G55" i="51"/>
  <c r="E55" i="51"/>
  <c r="N53" i="51"/>
  <c r="Q53" i="51" s="1"/>
  <c r="R53" i="51" s="1"/>
  <c r="G53" i="51"/>
  <c r="E53" i="51"/>
  <c r="N52" i="51"/>
  <c r="Q52" i="51" s="1"/>
  <c r="R52" i="51" s="1"/>
  <c r="G52" i="51"/>
  <c r="E52" i="51"/>
  <c r="N51" i="51"/>
  <c r="O51" i="51" s="1"/>
  <c r="P51" i="51" s="1"/>
  <c r="G51" i="51"/>
  <c r="E51" i="51"/>
  <c r="N48" i="51"/>
  <c r="Q48" i="51" s="1"/>
  <c r="R48" i="51" s="1"/>
  <c r="G48" i="51"/>
  <c r="E48" i="51"/>
  <c r="N47" i="51"/>
  <c r="Q47" i="51" s="1"/>
  <c r="R47" i="51" s="1"/>
  <c r="G47" i="51"/>
  <c r="E47" i="51"/>
  <c r="N46" i="51"/>
  <c r="G46" i="51"/>
  <c r="E46" i="51"/>
  <c r="N45" i="51"/>
  <c r="O45" i="51" s="1"/>
  <c r="P45" i="51" s="1"/>
  <c r="G45" i="51"/>
  <c r="E45" i="51"/>
  <c r="N44" i="51"/>
  <c r="Q44" i="51" s="1"/>
  <c r="R44" i="51" s="1"/>
  <c r="G44" i="51"/>
  <c r="E44" i="51"/>
  <c r="N50" i="51"/>
  <c r="Q50" i="51" s="1"/>
  <c r="R50" i="51" s="1"/>
  <c r="G50" i="51"/>
  <c r="E50" i="51"/>
  <c r="N49" i="51"/>
  <c r="G49" i="51"/>
  <c r="E49" i="51"/>
  <c r="N43" i="51"/>
  <c r="Q43" i="51" s="1"/>
  <c r="R43" i="51" s="1"/>
  <c r="G43" i="51"/>
  <c r="E43" i="51"/>
  <c r="N42" i="51"/>
  <c r="Q42" i="51" s="1"/>
  <c r="R42" i="51" s="1"/>
  <c r="G42" i="51"/>
  <c r="E42" i="51"/>
  <c r="N41" i="51"/>
  <c r="Q41" i="51" s="1"/>
  <c r="R41" i="51" s="1"/>
  <c r="G41" i="51"/>
  <c r="E41" i="51"/>
  <c r="N40" i="51"/>
  <c r="O40" i="51" s="1"/>
  <c r="P40" i="51" s="1"/>
  <c r="G40" i="51"/>
  <c r="E40" i="51"/>
  <c r="N39" i="51"/>
  <c r="Q39" i="51" s="1"/>
  <c r="R39" i="51" s="1"/>
  <c r="G39" i="51"/>
  <c r="E39" i="51"/>
  <c r="N38" i="51"/>
  <c r="Q38" i="51" s="1"/>
  <c r="R38" i="51" s="1"/>
  <c r="G38" i="51"/>
  <c r="E38" i="51"/>
  <c r="N37" i="51"/>
  <c r="Q37" i="51" s="1"/>
  <c r="R37" i="51" s="1"/>
  <c r="G37" i="51"/>
  <c r="E37" i="51"/>
  <c r="N36" i="51"/>
  <c r="O36" i="51" s="1"/>
  <c r="P36" i="51" s="1"/>
  <c r="G36" i="51"/>
  <c r="E36" i="51"/>
  <c r="N35" i="51"/>
  <c r="Q35" i="51" s="1"/>
  <c r="R35" i="51" s="1"/>
  <c r="G35" i="51"/>
  <c r="E35" i="51"/>
  <c r="N34" i="51"/>
  <c r="Q34" i="51" s="1"/>
  <c r="R34" i="51" s="1"/>
  <c r="G34" i="51"/>
  <c r="E34" i="51"/>
  <c r="N31" i="51"/>
  <c r="Q31" i="51" s="1"/>
  <c r="R31" i="51" s="1"/>
  <c r="G31" i="51"/>
  <c r="E31" i="51"/>
  <c r="N30" i="51"/>
  <c r="O30" i="51" s="1"/>
  <c r="P30" i="51" s="1"/>
  <c r="G30" i="51"/>
  <c r="E30" i="51"/>
  <c r="N29" i="51"/>
  <c r="O29" i="51" s="1"/>
  <c r="P29" i="51" s="1"/>
  <c r="G29" i="51"/>
  <c r="E29" i="51"/>
  <c r="N28" i="51"/>
  <c r="Q28" i="51" s="1"/>
  <c r="R28" i="51" s="1"/>
  <c r="G28" i="51"/>
  <c r="E28" i="51"/>
  <c r="N27" i="51"/>
  <c r="Q27" i="51" s="1"/>
  <c r="R27" i="51" s="1"/>
  <c r="G27" i="51"/>
  <c r="E27" i="51"/>
  <c r="N33" i="51"/>
  <c r="O33" i="51" s="1"/>
  <c r="P33" i="51" s="1"/>
  <c r="G33" i="51"/>
  <c r="E33" i="51"/>
  <c r="N32" i="51"/>
  <c r="O32" i="51" s="1"/>
  <c r="P32" i="51" s="1"/>
  <c r="G32" i="51"/>
  <c r="E32" i="51"/>
  <c r="N26" i="51"/>
  <c r="Q26" i="51" s="1"/>
  <c r="R26" i="51" s="1"/>
  <c r="G26" i="51"/>
  <c r="E26" i="51"/>
  <c r="N25" i="51"/>
  <c r="Q25" i="51" s="1"/>
  <c r="R25" i="51" s="1"/>
  <c r="G25" i="51"/>
  <c r="E25" i="51"/>
  <c r="N24" i="51"/>
  <c r="O24" i="51" s="1"/>
  <c r="P24" i="51" s="1"/>
  <c r="G24" i="51"/>
  <c r="E24" i="51"/>
  <c r="N23" i="51"/>
  <c r="O23" i="51" s="1"/>
  <c r="P23" i="51" s="1"/>
  <c r="G23" i="51"/>
  <c r="E23" i="51"/>
  <c r="N22" i="51"/>
  <c r="Q22" i="51" s="1"/>
  <c r="R22" i="51" s="1"/>
  <c r="G22" i="51"/>
  <c r="E22" i="51"/>
  <c r="N21" i="51"/>
  <c r="Q21" i="51" s="1"/>
  <c r="R21" i="51" s="1"/>
  <c r="G21" i="51"/>
  <c r="E21" i="51"/>
  <c r="N20" i="51"/>
  <c r="O20" i="51" s="1"/>
  <c r="P20" i="51" s="1"/>
  <c r="G20" i="51"/>
  <c r="E20" i="51"/>
  <c r="N18" i="51"/>
  <c r="Q18" i="51" s="1"/>
  <c r="R18" i="51" s="1"/>
  <c r="E18" i="51"/>
  <c r="N16" i="51"/>
  <c r="Q16" i="51" s="1"/>
  <c r="R16" i="51" s="1"/>
  <c r="G16" i="51"/>
  <c r="E16" i="51"/>
  <c r="N15" i="51"/>
  <c r="Q15" i="51" s="1"/>
  <c r="R15" i="51" s="1"/>
  <c r="G15" i="51"/>
  <c r="E15" i="51"/>
  <c r="N14" i="51"/>
  <c r="O14" i="51" s="1"/>
  <c r="P14" i="51" s="1"/>
  <c r="G14" i="51"/>
  <c r="E14" i="51"/>
  <c r="N13" i="51"/>
  <c r="Q13" i="51" s="1"/>
  <c r="R13" i="51" s="1"/>
  <c r="G13" i="51"/>
  <c r="E13" i="51"/>
  <c r="N12" i="51"/>
  <c r="Q12" i="51" s="1"/>
  <c r="R12" i="51" s="1"/>
  <c r="E12" i="51"/>
  <c r="N10" i="51"/>
  <c r="O10" i="51" s="1"/>
  <c r="P10" i="51" s="1"/>
  <c r="G10" i="51"/>
  <c r="E10" i="51"/>
  <c r="N9" i="51"/>
  <c r="O9" i="51" s="1"/>
  <c r="P9" i="51" s="1"/>
  <c r="G9" i="51"/>
  <c r="E9" i="51"/>
  <c r="N8" i="51"/>
  <c r="O8" i="51" s="1"/>
  <c r="P8" i="51" s="1"/>
  <c r="G8" i="51"/>
  <c r="E8" i="51"/>
  <c r="N7" i="51"/>
  <c r="Q7" i="51" s="1"/>
  <c r="R7" i="51" s="1"/>
  <c r="G7" i="51"/>
  <c r="E7" i="51"/>
  <c r="Q87" i="51" l="1"/>
  <c r="R87" i="51" s="1"/>
  <c r="O70" i="51"/>
  <c r="P70" i="51" s="1"/>
  <c r="AD10" i="51"/>
  <c r="U10" i="51"/>
  <c r="AD27" i="51"/>
  <c r="U27" i="51"/>
  <c r="AD47" i="51"/>
  <c r="U47" i="51"/>
  <c r="AD67" i="51"/>
  <c r="U67" i="51"/>
  <c r="AD71" i="51"/>
  <c r="U71" i="51"/>
  <c r="AD88" i="51"/>
  <c r="U88" i="51"/>
  <c r="AD14" i="51"/>
  <c r="U14" i="51"/>
  <c r="AD24" i="51"/>
  <c r="U24" i="51"/>
  <c r="AD30" i="51"/>
  <c r="U30" i="51"/>
  <c r="U36" i="51"/>
  <c r="AD36" i="51"/>
  <c r="AD40" i="51"/>
  <c r="U40" i="51"/>
  <c r="AD49" i="51"/>
  <c r="U49" i="51"/>
  <c r="AD46" i="51"/>
  <c r="U46" i="51"/>
  <c r="U52" i="51"/>
  <c r="AD52" i="51"/>
  <c r="AD62" i="51"/>
  <c r="U62" i="51"/>
  <c r="AD66" i="51"/>
  <c r="U66" i="51"/>
  <c r="AD69" i="51"/>
  <c r="U69" i="51"/>
  <c r="AD75" i="51"/>
  <c r="U75" i="51"/>
  <c r="AD81" i="51"/>
  <c r="U81" i="51"/>
  <c r="AD86" i="51"/>
  <c r="U86" i="51"/>
  <c r="AD15" i="51"/>
  <c r="U15" i="51"/>
  <c r="AD25" i="51"/>
  <c r="U25" i="51"/>
  <c r="AD41" i="51"/>
  <c r="U41" i="51"/>
  <c r="U50" i="51"/>
  <c r="AD50" i="51"/>
  <c r="AD58" i="51"/>
  <c r="U58" i="51"/>
  <c r="AD70" i="51"/>
  <c r="U70" i="51"/>
  <c r="AD87" i="51"/>
  <c r="U87" i="51"/>
  <c r="U9" i="51"/>
  <c r="AD9" i="51"/>
  <c r="U20" i="51"/>
  <c r="AD20" i="51"/>
  <c r="AD33" i="51"/>
  <c r="U33" i="51"/>
  <c r="AD8" i="51"/>
  <c r="U8" i="51"/>
  <c r="U13" i="51"/>
  <c r="AD13" i="51"/>
  <c r="U18" i="51"/>
  <c r="AD18" i="51"/>
  <c r="U23" i="51"/>
  <c r="AD23" i="51"/>
  <c r="U32" i="51"/>
  <c r="AD32" i="51"/>
  <c r="AD29" i="51"/>
  <c r="U29" i="51"/>
  <c r="AD35" i="51"/>
  <c r="U35" i="51"/>
  <c r="U39" i="51"/>
  <c r="AD39" i="51"/>
  <c r="AD43" i="51"/>
  <c r="U43" i="51"/>
  <c r="U45" i="51"/>
  <c r="AD45" i="51"/>
  <c r="U51" i="51"/>
  <c r="AD51" i="51"/>
  <c r="U56" i="51"/>
  <c r="AD56" i="51"/>
  <c r="AD61" i="51"/>
  <c r="U61" i="51"/>
  <c r="AD65" i="51"/>
  <c r="U65" i="51"/>
  <c r="U72" i="51"/>
  <c r="AD72" i="51"/>
  <c r="U74" i="51"/>
  <c r="AD74" i="51"/>
  <c r="AD80" i="51"/>
  <c r="U80" i="51"/>
  <c r="U85" i="51"/>
  <c r="AD85" i="51"/>
  <c r="AD91" i="51"/>
  <c r="U91" i="51"/>
  <c r="AD21" i="51"/>
  <c r="U21" i="51"/>
  <c r="AD31" i="51"/>
  <c r="U31" i="51"/>
  <c r="AD37" i="51"/>
  <c r="U37" i="51"/>
  <c r="AD53" i="51"/>
  <c r="U53" i="51"/>
  <c r="AD63" i="51"/>
  <c r="U63" i="51"/>
  <c r="AD76" i="51"/>
  <c r="U76" i="51"/>
  <c r="U82" i="51"/>
  <c r="AD82" i="51"/>
  <c r="AD7" i="51"/>
  <c r="U7" i="51"/>
  <c r="U12" i="51"/>
  <c r="AD12" i="51"/>
  <c r="U16" i="51"/>
  <c r="AD16" i="51"/>
  <c r="U22" i="51"/>
  <c r="AD22" i="51"/>
  <c r="U26" i="51"/>
  <c r="AD26" i="51"/>
  <c r="U28" i="51"/>
  <c r="AD28" i="51"/>
  <c r="AD34" i="51"/>
  <c r="U34" i="51"/>
  <c r="U38" i="51"/>
  <c r="AD38" i="51"/>
  <c r="U42" i="51"/>
  <c r="AD42" i="51"/>
  <c r="AD44" i="51"/>
  <c r="U44" i="51"/>
  <c r="AD48" i="51"/>
  <c r="U48" i="51"/>
  <c r="U55" i="51"/>
  <c r="AD55" i="51"/>
  <c r="AD60" i="51"/>
  <c r="U60" i="51"/>
  <c r="AD64" i="51"/>
  <c r="U64" i="51"/>
  <c r="AD68" i="51"/>
  <c r="U68" i="51"/>
  <c r="U73" i="51"/>
  <c r="AD73" i="51"/>
  <c r="U78" i="51"/>
  <c r="AD78" i="51"/>
  <c r="AD83" i="51"/>
  <c r="U83" i="51"/>
  <c r="AD89" i="51"/>
  <c r="U89" i="51"/>
  <c r="Q51" i="51"/>
  <c r="R51" i="51" s="1"/>
  <c r="Q62" i="51"/>
  <c r="R62" i="51" s="1"/>
  <c r="O21" i="51"/>
  <c r="P21" i="51" s="1"/>
  <c r="O31" i="51"/>
  <c r="P31" i="51" s="1"/>
  <c r="O16" i="51"/>
  <c r="P16" i="51" s="1"/>
  <c r="O18" i="51"/>
  <c r="P18" i="51" s="1"/>
  <c r="O37" i="51"/>
  <c r="P37" i="51" s="1"/>
  <c r="Q78" i="51"/>
  <c r="R78" i="51" s="1"/>
  <c r="O80" i="51"/>
  <c r="P80" i="51" s="1"/>
  <c r="Q81" i="51"/>
  <c r="R81" i="51" s="1"/>
  <c r="Q82" i="51"/>
  <c r="R82" i="51" s="1"/>
  <c r="I62" i="51"/>
  <c r="I8" i="51"/>
  <c r="I13" i="51"/>
  <c r="Q69" i="51"/>
  <c r="R69" i="51" s="1"/>
  <c r="Q86" i="51"/>
  <c r="R86" i="51" s="1"/>
  <c r="Q10" i="51"/>
  <c r="R10" i="51" s="1"/>
  <c r="O12" i="51"/>
  <c r="P12" i="51" s="1"/>
  <c r="O13" i="51"/>
  <c r="P13" i="51" s="1"/>
  <c r="Q32" i="51"/>
  <c r="R32" i="51" s="1"/>
  <c r="O41" i="51"/>
  <c r="P41" i="51" s="1"/>
  <c r="Q55" i="51"/>
  <c r="R55" i="51" s="1"/>
  <c r="O64" i="51"/>
  <c r="P64" i="51" s="1"/>
  <c r="O25" i="51"/>
  <c r="P25" i="51" s="1"/>
  <c r="Q33" i="51"/>
  <c r="R33" i="51" s="1"/>
  <c r="O50" i="51"/>
  <c r="P50" i="51" s="1"/>
  <c r="Q56" i="51"/>
  <c r="R56" i="51" s="1"/>
  <c r="I33" i="51"/>
  <c r="I65" i="51"/>
  <c r="I18" i="51"/>
  <c r="I53" i="51"/>
  <c r="I58" i="51"/>
  <c r="I16" i="51"/>
  <c r="I81" i="51"/>
  <c r="I87" i="51"/>
  <c r="I71" i="51"/>
  <c r="I78" i="51"/>
  <c r="M78" i="51" s="1"/>
  <c r="I24" i="51"/>
  <c r="O27" i="51"/>
  <c r="P27" i="51" s="1"/>
  <c r="I30" i="51"/>
  <c r="O35" i="51"/>
  <c r="P35" i="51" s="1"/>
  <c r="I36" i="51"/>
  <c r="O39" i="51"/>
  <c r="P39" i="51" s="1"/>
  <c r="I40" i="51"/>
  <c r="O43" i="51"/>
  <c r="P43" i="51" s="1"/>
  <c r="I49" i="51"/>
  <c r="O44" i="51"/>
  <c r="P44" i="51" s="1"/>
  <c r="I45" i="51"/>
  <c r="I46" i="51"/>
  <c r="O53" i="51"/>
  <c r="P53" i="51" s="1"/>
  <c r="O58" i="51"/>
  <c r="P58" i="51" s="1"/>
  <c r="Q66" i="51"/>
  <c r="R66" i="51" s="1"/>
  <c r="O72" i="51"/>
  <c r="P72" i="51" s="1"/>
  <c r="I69" i="51"/>
  <c r="O73" i="51"/>
  <c r="P73" i="51" s="1"/>
  <c r="I74" i="51"/>
  <c r="Q74" i="51"/>
  <c r="R74" i="51" s="1"/>
  <c r="O85" i="51"/>
  <c r="P85" i="51" s="1"/>
  <c r="Q20" i="51"/>
  <c r="R20" i="51" s="1"/>
  <c r="Q8" i="51"/>
  <c r="R8" i="51" s="1"/>
  <c r="I9" i="51"/>
  <c r="O22" i="51"/>
  <c r="P22" i="51" s="1"/>
  <c r="Q23" i="51"/>
  <c r="R23" i="51" s="1"/>
  <c r="Q24" i="51"/>
  <c r="R24" i="51" s="1"/>
  <c r="I26" i="51"/>
  <c r="O28" i="51"/>
  <c r="P28" i="51" s="1"/>
  <c r="Q29" i="51"/>
  <c r="R29" i="51" s="1"/>
  <c r="Q30" i="51"/>
  <c r="R30" i="51" s="1"/>
  <c r="I34" i="51"/>
  <c r="Q36" i="51"/>
  <c r="R36" i="51" s="1"/>
  <c r="I38" i="51"/>
  <c r="Q40" i="51"/>
  <c r="R40" i="51" s="1"/>
  <c r="I42" i="51"/>
  <c r="Q45" i="51"/>
  <c r="R45" i="51" s="1"/>
  <c r="O48" i="51"/>
  <c r="P48" i="51" s="1"/>
  <c r="I51" i="51"/>
  <c r="I56" i="51"/>
  <c r="Q60" i="51"/>
  <c r="R60" i="51" s="1"/>
  <c r="I63" i="51"/>
  <c r="O67" i="51"/>
  <c r="P67" i="51" s="1"/>
  <c r="I68" i="51"/>
  <c r="I82" i="51"/>
  <c r="I14" i="51"/>
  <c r="Q14" i="51"/>
  <c r="R14" i="51" s="1"/>
  <c r="I20" i="51"/>
  <c r="I22" i="51"/>
  <c r="O26" i="51"/>
  <c r="P26" i="51" s="1"/>
  <c r="I28" i="51"/>
  <c r="O34" i="51"/>
  <c r="P34" i="51" s="1"/>
  <c r="O38" i="51"/>
  <c r="P38" i="51" s="1"/>
  <c r="O42" i="51"/>
  <c r="P42" i="51" s="1"/>
  <c r="O47" i="51"/>
  <c r="P47" i="51" s="1"/>
  <c r="I48" i="51"/>
  <c r="O52" i="51"/>
  <c r="P52" i="51" s="1"/>
  <c r="O57" i="51"/>
  <c r="P57" i="51" s="1"/>
  <c r="O68" i="51"/>
  <c r="P68" i="51" s="1"/>
  <c r="O71" i="51"/>
  <c r="P71" i="51" s="1"/>
  <c r="O76" i="51"/>
  <c r="P76" i="51" s="1"/>
  <c r="I86" i="51"/>
  <c r="L86" i="51" s="1"/>
  <c r="V86" i="51" s="1"/>
  <c r="I32" i="51"/>
  <c r="Q46" i="51"/>
  <c r="R46" i="51" s="1"/>
  <c r="O46" i="51"/>
  <c r="P46" i="51" s="1"/>
  <c r="I7" i="51"/>
  <c r="O7" i="51"/>
  <c r="P7" i="51" s="1"/>
  <c r="I12" i="51"/>
  <c r="I15" i="51"/>
  <c r="I35" i="51"/>
  <c r="I50" i="51"/>
  <c r="Q9" i="51"/>
  <c r="R9" i="51" s="1"/>
  <c r="I23" i="51"/>
  <c r="I39" i="51"/>
  <c r="I10" i="51"/>
  <c r="O15" i="51"/>
  <c r="P15" i="51" s="1"/>
  <c r="I21" i="51"/>
  <c r="I29" i="51"/>
  <c r="I43" i="51"/>
  <c r="O49" i="51"/>
  <c r="P49" i="51" s="1"/>
  <c r="Q49" i="51"/>
  <c r="R49" i="51" s="1"/>
  <c r="Q61" i="51"/>
  <c r="R61" i="51" s="1"/>
  <c r="O61" i="51"/>
  <c r="P61" i="51" s="1"/>
  <c r="Q65" i="51"/>
  <c r="R65" i="51" s="1"/>
  <c r="O65" i="51"/>
  <c r="P65" i="51" s="1"/>
  <c r="I55" i="51"/>
  <c r="I61" i="51"/>
  <c r="I64" i="51"/>
  <c r="I25" i="51"/>
  <c r="I27" i="51"/>
  <c r="I31" i="51"/>
  <c r="I37" i="51"/>
  <c r="I41" i="51"/>
  <c r="I44" i="51"/>
  <c r="I47" i="51"/>
  <c r="Q88" i="51"/>
  <c r="R88" i="51" s="1"/>
  <c r="O88" i="51"/>
  <c r="P88" i="51" s="1"/>
  <c r="I60" i="51"/>
  <c r="I52" i="51"/>
  <c r="I57" i="51"/>
  <c r="U57" i="51"/>
  <c r="O63" i="51"/>
  <c r="P63" i="51" s="1"/>
  <c r="Q63" i="51"/>
  <c r="R63" i="51" s="1"/>
  <c r="I66" i="51"/>
  <c r="I67" i="51"/>
  <c r="I70" i="51"/>
  <c r="I80" i="51"/>
  <c r="I76" i="51"/>
  <c r="I85" i="51"/>
  <c r="I72" i="51"/>
  <c r="I73" i="51"/>
  <c r="Q75" i="51"/>
  <c r="R75" i="51" s="1"/>
  <c r="O75" i="51"/>
  <c r="P75" i="51" s="1"/>
  <c r="Q83" i="51"/>
  <c r="R83" i="51" s="1"/>
  <c r="O83" i="51"/>
  <c r="P83" i="51" s="1"/>
  <c r="I89" i="51"/>
  <c r="Q91" i="51"/>
  <c r="R91" i="51" s="1"/>
  <c r="I75" i="51"/>
  <c r="I83" i="51"/>
  <c r="I88" i="51"/>
  <c r="Q89" i="51"/>
  <c r="R89" i="51" s="1"/>
  <c r="I91" i="51"/>
  <c r="M86" i="51" l="1"/>
  <c r="M45" i="51"/>
  <c r="L71" i="51"/>
  <c r="V71" i="51" s="1"/>
  <c r="M16" i="51"/>
  <c r="L65" i="51"/>
  <c r="V65" i="51" s="1"/>
  <c r="M13" i="51"/>
  <c r="L62" i="51"/>
  <c r="V62" i="51" s="1"/>
  <c r="AE86" i="51"/>
  <c r="AC86" i="51"/>
  <c r="T86" i="51"/>
  <c r="M53" i="51"/>
  <c r="L78" i="51"/>
  <c r="V78" i="51" s="1"/>
  <c r="L81" i="51"/>
  <c r="V81" i="51" s="1"/>
  <c r="L18" i="51"/>
  <c r="V18" i="51" s="1"/>
  <c r="M62" i="51"/>
  <c r="M71" i="51"/>
  <c r="L16" i="51"/>
  <c r="V16" i="51" s="1"/>
  <c r="M65" i="51"/>
  <c r="M81" i="51"/>
  <c r="M48" i="51"/>
  <c r="M68" i="51"/>
  <c r="L42" i="51"/>
  <c r="V42" i="51" s="1"/>
  <c r="M34" i="51"/>
  <c r="M26" i="51"/>
  <c r="L49" i="51"/>
  <c r="AE49" i="51" s="1"/>
  <c r="M87" i="51"/>
  <c r="L53" i="51"/>
  <c r="M33" i="51"/>
  <c r="M28" i="51"/>
  <c r="M18" i="51"/>
  <c r="M22" i="51"/>
  <c r="M58" i="51"/>
  <c r="M8" i="51"/>
  <c r="L8" i="51"/>
  <c r="V8" i="51" s="1"/>
  <c r="M63" i="51"/>
  <c r="L38" i="51"/>
  <c r="V38" i="51" s="1"/>
  <c r="L45" i="51"/>
  <c r="V45" i="51" s="1"/>
  <c r="L13" i="51"/>
  <c r="V13" i="51" s="1"/>
  <c r="M9" i="51"/>
  <c r="L87" i="51"/>
  <c r="V87" i="51" s="1"/>
  <c r="L58" i="51"/>
  <c r="V58" i="51" s="1"/>
  <c r="L33" i="51"/>
  <c r="V33" i="51" s="1"/>
  <c r="M42" i="51"/>
  <c r="L26" i="51"/>
  <c r="V26" i="51" s="1"/>
  <c r="L28" i="51"/>
  <c r="V28" i="51" s="1"/>
  <c r="L68" i="51"/>
  <c r="V68" i="51" s="1"/>
  <c r="M49" i="51"/>
  <c r="L34" i="51"/>
  <c r="V34" i="51" s="1"/>
  <c r="L9" i="51"/>
  <c r="V9" i="51" s="1"/>
  <c r="L46" i="51"/>
  <c r="V46" i="51" s="1"/>
  <c r="M46" i="51"/>
  <c r="L63" i="51"/>
  <c r="V63" i="51" s="1"/>
  <c r="L48" i="51"/>
  <c r="V48" i="51" s="1"/>
  <c r="M82" i="51"/>
  <c r="L82" i="51"/>
  <c r="V82" i="51" s="1"/>
  <c r="M74" i="51"/>
  <c r="L74" i="51"/>
  <c r="V74" i="51" s="1"/>
  <c r="L30" i="51"/>
  <c r="V30" i="51" s="1"/>
  <c r="M30" i="51"/>
  <c r="M38" i="51"/>
  <c r="L22" i="51"/>
  <c r="V22" i="51" s="1"/>
  <c r="M56" i="51"/>
  <c r="L56" i="51"/>
  <c r="V56" i="51" s="1"/>
  <c r="M20" i="51"/>
  <c r="L20" i="51"/>
  <c r="V20" i="51" s="1"/>
  <c r="M40" i="51"/>
  <c r="L40" i="51"/>
  <c r="V40" i="51" s="1"/>
  <c r="M14" i="51"/>
  <c r="L14" i="51"/>
  <c r="V14" i="51" s="1"/>
  <c r="M51" i="51"/>
  <c r="L51" i="51"/>
  <c r="V51" i="51" s="1"/>
  <c r="L69" i="51"/>
  <c r="V69" i="51" s="1"/>
  <c r="M69" i="51"/>
  <c r="L36" i="51"/>
  <c r="M36" i="51"/>
  <c r="L24" i="51"/>
  <c r="V24" i="51" s="1"/>
  <c r="M24" i="51"/>
  <c r="M83" i="51"/>
  <c r="L83" i="51"/>
  <c r="V83" i="51" s="1"/>
  <c r="M91" i="51"/>
  <c r="L91" i="51"/>
  <c r="V91" i="51" s="1"/>
  <c r="M75" i="51"/>
  <c r="L75" i="51"/>
  <c r="M76" i="51"/>
  <c r="L76" i="51"/>
  <c r="V76" i="51" s="1"/>
  <c r="M66" i="51"/>
  <c r="L66" i="51"/>
  <c r="V66" i="51" s="1"/>
  <c r="M47" i="51"/>
  <c r="L47" i="51"/>
  <c r="V47" i="51" s="1"/>
  <c r="M37" i="51"/>
  <c r="L37" i="51"/>
  <c r="V37" i="51" s="1"/>
  <c r="L29" i="51"/>
  <c r="V29" i="51" s="1"/>
  <c r="M29" i="51"/>
  <c r="M21" i="51"/>
  <c r="L21" i="51"/>
  <c r="V21" i="51" s="1"/>
  <c r="L35" i="51"/>
  <c r="V35" i="51" s="1"/>
  <c r="M35" i="51"/>
  <c r="M7" i="51"/>
  <c r="L7" i="51"/>
  <c r="V7" i="51" s="1"/>
  <c r="M41" i="51"/>
  <c r="L41" i="51"/>
  <c r="V41" i="51" s="1"/>
  <c r="M25" i="51"/>
  <c r="L25" i="51"/>
  <c r="V25" i="51" s="1"/>
  <c r="M64" i="51"/>
  <c r="L64" i="51"/>
  <c r="V64" i="51" s="1"/>
  <c r="L43" i="51"/>
  <c r="V43" i="51" s="1"/>
  <c r="M43" i="51"/>
  <c r="L39" i="51"/>
  <c r="V39" i="51" s="1"/>
  <c r="M39" i="51"/>
  <c r="L32" i="51"/>
  <c r="V32" i="51" s="1"/>
  <c r="M32" i="51"/>
  <c r="L67" i="51"/>
  <c r="V67" i="51" s="1"/>
  <c r="M67" i="51"/>
  <c r="M57" i="51"/>
  <c r="L57" i="51"/>
  <c r="V57" i="51" s="1"/>
  <c r="L60" i="51"/>
  <c r="V60" i="51" s="1"/>
  <c r="M60" i="51"/>
  <c r="M44" i="51"/>
  <c r="L44" i="51"/>
  <c r="V44" i="51" s="1"/>
  <c r="M27" i="51"/>
  <c r="L27" i="51"/>
  <c r="V27" i="51" s="1"/>
  <c r="M61" i="51"/>
  <c r="L61" i="51"/>
  <c r="V61" i="51" s="1"/>
  <c r="L55" i="51"/>
  <c r="V55" i="51" s="1"/>
  <c r="M55" i="51"/>
  <c r="M15" i="51"/>
  <c r="L15" i="51"/>
  <c r="V15" i="51" s="1"/>
  <c r="M12" i="51"/>
  <c r="L12" i="51"/>
  <c r="V12" i="51" s="1"/>
  <c r="M73" i="51"/>
  <c r="L73" i="51"/>
  <c r="V73" i="51" s="1"/>
  <c r="M72" i="51"/>
  <c r="L72" i="51"/>
  <c r="V72" i="51" s="1"/>
  <c r="M85" i="51"/>
  <c r="L85" i="51"/>
  <c r="V85" i="51" s="1"/>
  <c r="M52" i="51"/>
  <c r="L52" i="51"/>
  <c r="V52" i="51" s="1"/>
  <c r="M88" i="51"/>
  <c r="L88" i="51"/>
  <c r="V88" i="51" s="1"/>
  <c r="M89" i="51"/>
  <c r="L89" i="51"/>
  <c r="V89" i="51" s="1"/>
  <c r="M80" i="51"/>
  <c r="L80" i="51"/>
  <c r="V80" i="51" s="1"/>
  <c r="L70" i="51"/>
  <c r="M70" i="51"/>
  <c r="M31" i="51"/>
  <c r="L31" i="51"/>
  <c r="V31" i="51" s="1"/>
  <c r="L10" i="51"/>
  <c r="V10" i="51" s="1"/>
  <c r="M10" i="51"/>
  <c r="L23" i="51"/>
  <c r="V23" i="51" s="1"/>
  <c r="M23" i="51"/>
  <c r="M50" i="51"/>
  <c r="L50" i="51"/>
  <c r="V50" i="51" s="1"/>
  <c r="I8" i="33"/>
  <c r="AC60" i="51" l="1"/>
  <c r="V70" i="51"/>
  <c r="V53" i="51"/>
  <c r="V36" i="51"/>
  <c r="V75" i="51"/>
  <c r="T81" i="51"/>
  <c r="T71" i="51"/>
  <c r="T78" i="51"/>
  <c r="T65" i="51"/>
  <c r="AC71" i="51"/>
  <c r="AE71" i="51"/>
  <c r="AC18" i="51"/>
  <c r="T46" i="51"/>
  <c r="AC26" i="51"/>
  <c r="AE34" i="51"/>
  <c r="T56" i="51"/>
  <c r="AC68" i="51"/>
  <c r="AE20" i="51"/>
  <c r="T7" i="51"/>
  <c r="AC15" i="51"/>
  <c r="AE50" i="51"/>
  <c r="AC43" i="51"/>
  <c r="T55" i="51"/>
  <c r="AE25" i="51"/>
  <c r="T41" i="51"/>
  <c r="AC47" i="51"/>
  <c r="AE91" i="51"/>
  <c r="T12" i="51"/>
  <c r="T29" i="51"/>
  <c r="AE37" i="51"/>
  <c r="T53" i="51"/>
  <c r="T87" i="51"/>
  <c r="AC24" i="51"/>
  <c r="AE36" i="51"/>
  <c r="AC69" i="51"/>
  <c r="AC82" i="51"/>
  <c r="AE22" i="51"/>
  <c r="T39" i="51"/>
  <c r="AC61" i="51"/>
  <c r="AE52" i="51"/>
  <c r="T85" i="51"/>
  <c r="AC89" i="51"/>
  <c r="AE88" i="51"/>
  <c r="T33" i="51"/>
  <c r="AC58" i="51"/>
  <c r="AE14" i="51"/>
  <c r="T27" i="51"/>
  <c r="T80" i="51"/>
  <c r="T40" i="51"/>
  <c r="T45" i="51"/>
  <c r="AC74" i="51"/>
  <c r="AE51" i="51"/>
  <c r="AC35" i="51"/>
  <c r="T23" i="51"/>
  <c r="AE60" i="51"/>
  <c r="AE57" i="51"/>
  <c r="AC75" i="51"/>
  <c r="T70" i="51"/>
  <c r="AE72" i="51"/>
  <c r="T38" i="51"/>
  <c r="AC64" i="51"/>
  <c r="AE44" i="51"/>
  <c r="T18" i="51"/>
  <c r="AC81" i="51"/>
  <c r="AC78" i="51"/>
  <c r="AC46" i="51"/>
  <c r="AE26" i="51"/>
  <c r="T42" i="51"/>
  <c r="AC56" i="51"/>
  <c r="AE68" i="51"/>
  <c r="T48" i="51"/>
  <c r="AC7" i="51"/>
  <c r="AE15" i="51"/>
  <c r="T21" i="51"/>
  <c r="T43" i="51"/>
  <c r="AE55" i="51"/>
  <c r="T31" i="51"/>
  <c r="AC41" i="51"/>
  <c r="AE47" i="51"/>
  <c r="AC63" i="51"/>
  <c r="AC12" i="51"/>
  <c r="AE29" i="51"/>
  <c r="T73" i="51"/>
  <c r="AC53" i="51"/>
  <c r="AC87" i="51"/>
  <c r="AE24" i="51"/>
  <c r="T49" i="51"/>
  <c r="T69" i="51"/>
  <c r="AE82" i="51"/>
  <c r="AC32" i="51"/>
  <c r="AC39" i="51"/>
  <c r="AE61" i="51"/>
  <c r="T66" i="51"/>
  <c r="AC85" i="51"/>
  <c r="AE89" i="51"/>
  <c r="AC8" i="51"/>
  <c r="AC33" i="51"/>
  <c r="AE58" i="51"/>
  <c r="T10" i="51"/>
  <c r="AC27" i="51"/>
  <c r="AE80" i="51"/>
  <c r="AC62" i="51"/>
  <c r="AC13" i="51"/>
  <c r="T16" i="51"/>
  <c r="T30" i="51"/>
  <c r="AC40" i="51"/>
  <c r="AE45" i="51"/>
  <c r="AE74" i="51"/>
  <c r="AC28" i="51"/>
  <c r="T35" i="51"/>
  <c r="AE23" i="51"/>
  <c r="T76" i="51"/>
  <c r="T75" i="51"/>
  <c r="AE70" i="51"/>
  <c r="T83" i="51"/>
  <c r="AC38" i="51"/>
  <c r="AE64" i="51"/>
  <c r="AC67" i="51"/>
  <c r="AE18" i="51"/>
  <c r="AE81" i="51"/>
  <c r="AE78" i="51"/>
  <c r="AE46" i="51"/>
  <c r="T34" i="51"/>
  <c r="AC42" i="51"/>
  <c r="AE56" i="51"/>
  <c r="T20" i="51"/>
  <c r="AC48" i="51"/>
  <c r="AE7" i="51"/>
  <c r="T50" i="51"/>
  <c r="AC21" i="51"/>
  <c r="AE43" i="51"/>
  <c r="T25" i="51"/>
  <c r="AC31" i="51"/>
  <c r="AE41" i="51"/>
  <c r="T91" i="51"/>
  <c r="T63" i="51"/>
  <c r="AE12" i="51"/>
  <c r="T37" i="51"/>
  <c r="AC73" i="51"/>
  <c r="AE53" i="51"/>
  <c r="AE87" i="51"/>
  <c r="T36" i="51"/>
  <c r="AC49" i="51"/>
  <c r="AE69" i="51"/>
  <c r="AC22" i="51"/>
  <c r="T32" i="51"/>
  <c r="AE39" i="51"/>
  <c r="T52" i="51"/>
  <c r="AC66" i="51"/>
  <c r="AE85" i="51"/>
  <c r="T88" i="51"/>
  <c r="T8" i="51"/>
  <c r="AE33" i="51"/>
  <c r="AC14" i="51"/>
  <c r="AC10" i="51"/>
  <c r="AE27" i="51"/>
  <c r="T62" i="51"/>
  <c r="T13" i="51"/>
  <c r="AC65" i="51"/>
  <c r="AC16" i="51"/>
  <c r="AC30" i="51"/>
  <c r="AE40" i="51"/>
  <c r="T51" i="51"/>
  <c r="T28" i="51"/>
  <c r="AE35" i="51"/>
  <c r="T60" i="51"/>
  <c r="T57" i="51"/>
  <c r="AC76" i="51"/>
  <c r="AE75" i="51"/>
  <c r="T72" i="51"/>
  <c r="AC83" i="51"/>
  <c r="AE38" i="51"/>
  <c r="T44" i="51"/>
  <c r="T67" i="51"/>
  <c r="T26" i="51"/>
  <c r="AC34" i="51"/>
  <c r="AE42" i="51"/>
  <c r="T68" i="51"/>
  <c r="AC20" i="51"/>
  <c r="AE48" i="51"/>
  <c r="T15" i="51"/>
  <c r="AC50" i="51"/>
  <c r="AE21" i="51"/>
  <c r="AC55" i="51"/>
  <c r="AC25" i="51"/>
  <c r="AE31" i="51"/>
  <c r="T47" i="51"/>
  <c r="AC91" i="51"/>
  <c r="AE63" i="51"/>
  <c r="AC29" i="51"/>
  <c r="AC37" i="51"/>
  <c r="AE73" i="51"/>
  <c r="T24" i="51"/>
  <c r="AC36" i="51"/>
  <c r="T82" i="51"/>
  <c r="T22" i="51"/>
  <c r="AE32" i="51"/>
  <c r="T61" i="51"/>
  <c r="AC52" i="51"/>
  <c r="AE66" i="51"/>
  <c r="T89" i="51"/>
  <c r="AC88" i="51"/>
  <c r="AE8" i="51"/>
  <c r="T58" i="51"/>
  <c r="T14" i="51"/>
  <c r="AE10" i="51"/>
  <c r="AC80" i="51"/>
  <c r="AE62" i="51"/>
  <c r="AE13" i="51"/>
  <c r="AE65" i="51"/>
  <c r="AE16" i="51"/>
  <c r="AE30" i="51"/>
  <c r="AC45" i="51"/>
  <c r="T74" i="51"/>
  <c r="AC51" i="51"/>
  <c r="AE28" i="51"/>
  <c r="AC23" i="51"/>
  <c r="AC57" i="51"/>
  <c r="AE76" i="51"/>
  <c r="AC70" i="51"/>
  <c r="AC72" i="51"/>
  <c r="AE83" i="51"/>
  <c r="T64" i="51"/>
  <c r="AC44" i="51"/>
  <c r="AE67" i="51"/>
  <c r="T9" i="51"/>
  <c r="AC9" i="51"/>
  <c r="AE9" i="51"/>
  <c r="V49" i="51"/>
  <c r="H40" i="22"/>
  <c r="Y98" i="22" l="1"/>
  <c r="AB98" i="22" s="1"/>
  <c r="AC98" i="22" s="1"/>
  <c r="F98" i="22"/>
  <c r="Y95" i="22"/>
  <c r="Z95" i="22" s="1"/>
  <c r="AA95" i="22" s="1"/>
  <c r="H95" i="22"/>
  <c r="F95" i="22"/>
  <c r="Y94" i="22"/>
  <c r="Z94" i="22" s="1"/>
  <c r="AA94" i="22" s="1"/>
  <c r="H94" i="22"/>
  <c r="F94" i="22"/>
  <c r="Y93" i="22"/>
  <c r="AB93" i="22" s="1"/>
  <c r="AC93" i="22" s="1"/>
  <c r="H93" i="22"/>
  <c r="F93" i="22"/>
  <c r="Y92" i="22"/>
  <c r="AB92" i="22" s="1"/>
  <c r="AC92" i="22" s="1"/>
  <c r="H92" i="22"/>
  <c r="F92" i="22"/>
  <c r="Y91" i="22"/>
  <c r="AB91" i="22" s="1"/>
  <c r="AC91" i="22" s="1"/>
  <c r="F91" i="22"/>
  <c r="Y88" i="22"/>
  <c r="AB88" i="22" s="1"/>
  <c r="AC88" i="22" s="1"/>
  <c r="H88" i="22"/>
  <c r="F88" i="22"/>
  <c r="Y87" i="22"/>
  <c r="AB87" i="22" s="1"/>
  <c r="AC87" i="22" s="1"/>
  <c r="H87" i="22"/>
  <c r="F87" i="22"/>
  <c r="Y86" i="22"/>
  <c r="Z86" i="22" s="1"/>
  <c r="AA86" i="22" s="1"/>
  <c r="H86" i="22"/>
  <c r="F86" i="22"/>
  <c r="Y85" i="22"/>
  <c r="Z85" i="22" s="1"/>
  <c r="AA85" i="22" s="1"/>
  <c r="H85" i="22"/>
  <c r="F85" i="22"/>
  <c r="Y66" i="22"/>
  <c r="Z66" i="22" s="1"/>
  <c r="AA66" i="22" s="1"/>
  <c r="Y65" i="22"/>
  <c r="AB65" i="22" s="1"/>
  <c r="AC65" i="22" s="1"/>
  <c r="Y64" i="22"/>
  <c r="AB64" i="22" s="1"/>
  <c r="AC64" i="22" s="1"/>
  <c r="F72" i="22"/>
  <c r="H72" i="22"/>
  <c r="Y72" i="22"/>
  <c r="Z72" i="22" s="1"/>
  <c r="AA72" i="22" s="1"/>
  <c r="Y73" i="22"/>
  <c r="AB73" i="22" s="1"/>
  <c r="AC73" i="22" s="1"/>
  <c r="H73" i="22"/>
  <c r="F73" i="22"/>
  <c r="Y70" i="22"/>
  <c r="AB70" i="22" s="1"/>
  <c r="AC70" i="22" s="1"/>
  <c r="H70" i="22"/>
  <c r="F70" i="22"/>
  <c r="H81" i="22"/>
  <c r="H80" i="22"/>
  <c r="H79" i="22"/>
  <c r="H78" i="22"/>
  <c r="H76" i="22"/>
  <c r="H75" i="22"/>
  <c r="H74" i="22"/>
  <c r="H77" i="22"/>
  <c r="H71" i="22"/>
  <c r="H69" i="22"/>
  <c r="H67" i="22"/>
  <c r="H66" i="22"/>
  <c r="H65" i="22"/>
  <c r="H64" i="22"/>
  <c r="F83" i="22"/>
  <c r="F81" i="22"/>
  <c r="F80" i="22"/>
  <c r="F79" i="22"/>
  <c r="F78" i="22"/>
  <c r="F76" i="22"/>
  <c r="F75" i="22"/>
  <c r="F74" i="22"/>
  <c r="F77" i="22"/>
  <c r="F71" i="22"/>
  <c r="F69" i="22"/>
  <c r="F67" i="22"/>
  <c r="F66" i="22"/>
  <c r="F65" i="22"/>
  <c r="F64" i="22"/>
  <c r="Y62" i="22"/>
  <c r="AB62" i="22" s="1"/>
  <c r="AC62" i="22" s="1"/>
  <c r="H62" i="22"/>
  <c r="Y61" i="22"/>
  <c r="AB61" i="22" s="1"/>
  <c r="AC61" i="22" s="1"/>
  <c r="H61" i="22"/>
  <c r="Y60" i="22"/>
  <c r="Z60" i="22" s="1"/>
  <c r="AA60" i="22" s="1"/>
  <c r="H60" i="22"/>
  <c r="H59" i="22"/>
  <c r="Y57" i="22"/>
  <c r="Z57" i="22" s="1"/>
  <c r="AA57" i="22" s="1"/>
  <c r="H57" i="22"/>
  <c r="Y56" i="22"/>
  <c r="AB56" i="22" s="1"/>
  <c r="AC56" i="22" s="1"/>
  <c r="H56" i="22"/>
  <c r="Y55" i="22"/>
  <c r="AB55" i="22" s="1"/>
  <c r="AC55" i="22" s="1"/>
  <c r="H55" i="22"/>
  <c r="Y52" i="22"/>
  <c r="AB52" i="22" s="1"/>
  <c r="AC52" i="22" s="1"/>
  <c r="H52" i="22"/>
  <c r="Y51" i="22"/>
  <c r="Z51" i="22" s="1"/>
  <c r="AA51" i="22" s="1"/>
  <c r="H51" i="22"/>
  <c r="Y50" i="22"/>
  <c r="AB50" i="22" s="1"/>
  <c r="AC50" i="22" s="1"/>
  <c r="H50" i="22"/>
  <c r="Y49" i="22"/>
  <c r="AB49" i="22" s="1"/>
  <c r="AC49" i="22" s="1"/>
  <c r="H49" i="22"/>
  <c r="Y48" i="22"/>
  <c r="AB48" i="22" s="1"/>
  <c r="AC48" i="22" s="1"/>
  <c r="H48" i="22"/>
  <c r="Y54" i="22"/>
  <c r="Z54" i="22" s="1"/>
  <c r="AA54" i="22" s="1"/>
  <c r="H54" i="22"/>
  <c r="Y53" i="22"/>
  <c r="AB53" i="22" s="1"/>
  <c r="AC53" i="22" s="1"/>
  <c r="H53" i="22"/>
  <c r="Y47" i="22"/>
  <c r="AB47" i="22" s="1"/>
  <c r="AC47" i="22" s="1"/>
  <c r="H47" i="22"/>
  <c r="Y46" i="22"/>
  <c r="AB46" i="22" s="1"/>
  <c r="AC46" i="22" s="1"/>
  <c r="H46" i="22"/>
  <c r="Y45" i="22"/>
  <c r="Z45" i="22" s="1"/>
  <c r="AA45" i="22" s="1"/>
  <c r="H45" i="22"/>
  <c r="Y44" i="22"/>
  <c r="AB44" i="22" s="1"/>
  <c r="AC44" i="22" s="1"/>
  <c r="H44" i="22"/>
  <c r="Y43" i="22"/>
  <c r="AB43" i="22" s="1"/>
  <c r="AC43" i="22" s="1"/>
  <c r="H43" i="22"/>
  <c r="Y42" i="22"/>
  <c r="Z42" i="22" s="1"/>
  <c r="AA42" i="22" s="1"/>
  <c r="H42" i="22"/>
  <c r="Y41" i="22"/>
  <c r="Z41" i="22" s="1"/>
  <c r="AA41" i="22" s="1"/>
  <c r="H41" i="22"/>
  <c r="Y40" i="22"/>
  <c r="Z40" i="22" s="1"/>
  <c r="AA40" i="22" s="1"/>
  <c r="Y39" i="22"/>
  <c r="Z39" i="22" s="1"/>
  <c r="AA39" i="22" s="1"/>
  <c r="H39" i="22"/>
  <c r="Y38" i="22"/>
  <c r="Z38" i="22" s="1"/>
  <c r="AA38" i="22" s="1"/>
  <c r="H38" i="22"/>
  <c r="Y35" i="22"/>
  <c r="Z35" i="22" s="1"/>
  <c r="AA35" i="22" s="1"/>
  <c r="H35" i="22"/>
  <c r="Y34" i="22"/>
  <c r="Z34" i="22" s="1"/>
  <c r="AA34" i="22" s="1"/>
  <c r="H34" i="22"/>
  <c r="Y33" i="22"/>
  <c r="Z33" i="22" s="1"/>
  <c r="AA33" i="22" s="1"/>
  <c r="H33" i="22"/>
  <c r="Y32" i="22"/>
  <c r="Z32" i="22" s="1"/>
  <c r="AA32" i="22" s="1"/>
  <c r="H32" i="22"/>
  <c r="Y31" i="22"/>
  <c r="Z31" i="22" s="1"/>
  <c r="AA31" i="22" s="1"/>
  <c r="H31" i="22"/>
  <c r="Y37" i="22"/>
  <c r="Z37" i="22" s="1"/>
  <c r="AA37" i="22" s="1"/>
  <c r="H37" i="22"/>
  <c r="Y36" i="22"/>
  <c r="Z36" i="22" s="1"/>
  <c r="AA36" i="22" s="1"/>
  <c r="H36" i="22"/>
  <c r="Y30" i="22"/>
  <c r="Z30" i="22" s="1"/>
  <c r="AA30" i="22" s="1"/>
  <c r="H30" i="22"/>
  <c r="Y29" i="22"/>
  <c r="Z29" i="22" s="1"/>
  <c r="AA29" i="22" s="1"/>
  <c r="H29" i="22"/>
  <c r="Y28" i="22"/>
  <c r="Z28" i="22" s="1"/>
  <c r="AA28" i="22" s="1"/>
  <c r="H28" i="22"/>
  <c r="Y59" i="22"/>
  <c r="Z59" i="22" s="1"/>
  <c r="AA59" i="22" s="1"/>
  <c r="Y27" i="22"/>
  <c r="AB27" i="22" s="1"/>
  <c r="AC27" i="22" s="1"/>
  <c r="H27" i="22"/>
  <c r="Y26" i="22"/>
  <c r="AB26" i="22" s="1"/>
  <c r="AC26" i="22" s="1"/>
  <c r="H26" i="22"/>
  <c r="Y25" i="22"/>
  <c r="AB25" i="22" s="1"/>
  <c r="AC25" i="22" s="1"/>
  <c r="H25" i="22"/>
  <c r="Y24" i="22"/>
  <c r="AB24" i="22" s="1"/>
  <c r="AC24" i="22" s="1"/>
  <c r="H24" i="22"/>
  <c r="Y22" i="22"/>
  <c r="Z22" i="22" s="1"/>
  <c r="AA22" i="22" s="1"/>
  <c r="Y18" i="22"/>
  <c r="AB18" i="22" s="1"/>
  <c r="AC18" i="22" s="1"/>
  <c r="H18" i="22"/>
  <c r="Y17" i="22"/>
  <c r="AB17" i="22" s="1"/>
  <c r="AC17" i="22" s="1"/>
  <c r="H17" i="22"/>
  <c r="Y16" i="22"/>
  <c r="Z16" i="22" s="1"/>
  <c r="AA16" i="22" s="1"/>
  <c r="H16" i="22"/>
  <c r="Y15" i="22"/>
  <c r="Z15" i="22" s="1"/>
  <c r="AA15" i="22" s="1"/>
  <c r="H15" i="22"/>
  <c r="Y7" i="22"/>
  <c r="Z7" i="22" s="1"/>
  <c r="AA7" i="22" s="1"/>
  <c r="H7" i="22"/>
  <c r="H10" i="22"/>
  <c r="H9" i="22"/>
  <c r="H8" i="22"/>
  <c r="Y14" i="22"/>
  <c r="Z14" i="22" s="1"/>
  <c r="AA14" i="22" s="1"/>
  <c r="E26" i="6"/>
  <c r="T26" i="6" s="1"/>
  <c r="E25" i="6"/>
  <c r="E24" i="6"/>
  <c r="E23" i="6"/>
  <c r="E22" i="6"/>
  <c r="E21" i="6"/>
  <c r="E20" i="6"/>
  <c r="E19" i="6"/>
  <c r="E18" i="6"/>
  <c r="E17" i="6"/>
  <c r="E16" i="6"/>
  <c r="E14" i="6"/>
  <c r="E13" i="6"/>
  <c r="E12" i="6"/>
  <c r="E11" i="6"/>
  <c r="N7" i="22" l="1"/>
  <c r="N16" i="22"/>
  <c r="N28" i="22"/>
  <c r="O28" i="22" s="1"/>
  <c r="N30" i="22"/>
  <c r="N37" i="22"/>
  <c r="N32" i="22"/>
  <c r="N34" i="22"/>
  <c r="N38" i="22"/>
  <c r="N60" i="22"/>
  <c r="O60" i="22" s="1"/>
  <c r="N62" i="22"/>
  <c r="O62" i="22" s="1"/>
  <c r="N67" i="22"/>
  <c r="O67" i="22" s="1"/>
  <c r="N74" i="22"/>
  <c r="N79" i="22"/>
  <c r="O79" i="22" s="1"/>
  <c r="N70" i="22"/>
  <c r="O70" i="22" s="1"/>
  <c r="N85" i="22"/>
  <c r="N94" i="22"/>
  <c r="N13" i="22"/>
  <c r="O13" i="22" s="1"/>
  <c r="N21" i="22"/>
  <c r="O21" i="22" s="1"/>
  <c r="N97" i="22"/>
  <c r="O97" i="22" s="1"/>
  <c r="N90" i="22"/>
  <c r="N68" i="22"/>
  <c r="O68" i="22" s="1"/>
  <c r="N89" i="22"/>
  <c r="O89" i="22" s="1"/>
  <c r="N91" i="22"/>
  <c r="O91" i="22" s="1"/>
  <c r="N96" i="22"/>
  <c r="N12" i="22"/>
  <c r="O12" i="22" s="1"/>
  <c r="N20" i="22"/>
  <c r="O20" i="22" s="1"/>
  <c r="N22" i="22"/>
  <c r="O22" i="22" s="1"/>
  <c r="N14" i="22"/>
  <c r="N98" i="22"/>
  <c r="O98" i="22" s="1"/>
  <c r="N82" i="22"/>
  <c r="O82" i="22" s="1"/>
  <c r="N83" i="22"/>
  <c r="O83" i="22" s="1"/>
  <c r="N40" i="22"/>
  <c r="N8" i="22"/>
  <c r="N25" i="22"/>
  <c r="N27" i="22"/>
  <c r="N41" i="22"/>
  <c r="N43" i="22"/>
  <c r="N45" i="22"/>
  <c r="O45" i="22" s="1"/>
  <c r="N47" i="22"/>
  <c r="O47" i="22" s="1"/>
  <c r="N54" i="22"/>
  <c r="N49" i="22"/>
  <c r="N51" i="22"/>
  <c r="N55" i="22"/>
  <c r="O55" i="22" s="1"/>
  <c r="N57" i="22"/>
  <c r="N64" i="22"/>
  <c r="O64" i="22" s="1"/>
  <c r="N69" i="22"/>
  <c r="O69" i="22" s="1"/>
  <c r="N75" i="22"/>
  <c r="O75" i="22" s="1"/>
  <c r="N80" i="22"/>
  <c r="N88" i="22"/>
  <c r="N93" i="22"/>
  <c r="N9" i="22"/>
  <c r="O9" i="22" s="1"/>
  <c r="N15" i="22"/>
  <c r="N17" i="22"/>
  <c r="O17" i="22" s="1"/>
  <c r="N29" i="22"/>
  <c r="O29" i="22" s="1"/>
  <c r="N36" i="22"/>
  <c r="N31" i="22"/>
  <c r="N33" i="22"/>
  <c r="O33" i="22" s="1"/>
  <c r="N35" i="22"/>
  <c r="N39" i="22"/>
  <c r="N61" i="22"/>
  <c r="O61" i="22" s="1"/>
  <c r="N65" i="22"/>
  <c r="N71" i="22"/>
  <c r="O71" i="22" s="1"/>
  <c r="N76" i="22"/>
  <c r="N81" i="22"/>
  <c r="O81" i="22" s="1"/>
  <c r="N72" i="22"/>
  <c r="O72" i="22" s="1"/>
  <c r="N87" i="22"/>
  <c r="O87" i="22" s="1"/>
  <c r="N92" i="22"/>
  <c r="N24" i="22"/>
  <c r="N26" i="22"/>
  <c r="N42" i="22"/>
  <c r="N44" i="22"/>
  <c r="N46" i="22"/>
  <c r="O46" i="22" s="1"/>
  <c r="N53" i="22"/>
  <c r="N48" i="22"/>
  <c r="N50" i="22"/>
  <c r="O50" i="22" s="1"/>
  <c r="N52" i="22"/>
  <c r="N56" i="22"/>
  <c r="O56" i="22" s="1"/>
  <c r="N59" i="22"/>
  <c r="N66" i="22"/>
  <c r="N77" i="22"/>
  <c r="O77" i="22" s="1"/>
  <c r="N78" i="22"/>
  <c r="O78" i="22" s="1"/>
  <c r="N73" i="22"/>
  <c r="N86" i="22"/>
  <c r="N95" i="22"/>
  <c r="P97" i="22"/>
  <c r="T97" i="22" s="1"/>
  <c r="P21" i="22"/>
  <c r="T21" i="22" s="1"/>
  <c r="O90" i="22"/>
  <c r="P90" i="22"/>
  <c r="T90" i="22" s="1"/>
  <c r="P13" i="22"/>
  <c r="T13" i="22" s="1"/>
  <c r="P68" i="22"/>
  <c r="T68" i="22" s="1"/>
  <c r="P22" i="22"/>
  <c r="P14" i="22"/>
  <c r="O14" i="22"/>
  <c r="P12" i="22"/>
  <c r="T12" i="22" s="1"/>
  <c r="P96" i="22"/>
  <c r="T96" i="22" s="1"/>
  <c r="P89" i="22"/>
  <c r="T89" i="22" s="1"/>
  <c r="P20" i="22"/>
  <c r="T20" i="22" s="1"/>
  <c r="O96" i="22"/>
  <c r="P98" i="22"/>
  <c r="P91" i="22"/>
  <c r="P82" i="22"/>
  <c r="T82" i="22" s="1"/>
  <c r="P83" i="22"/>
  <c r="T83" i="22" s="1"/>
  <c r="O38" i="22"/>
  <c r="O74" i="22"/>
  <c r="O73" i="22"/>
  <c r="O39" i="22"/>
  <c r="O57" i="22"/>
  <c r="O80" i="22"/>
  <c r="O63" i="22"/>
  <c r="O84" i="22"/>
  <c r="O40" i="22"/>
  <c r="P40" i="22"/>
  <c r="T40" i="22" s="1"/>
  <c r="O65" i="22"/>
  <c r="O76" i="22"/>
  <c r="P15" i="22"/>
  <c r="P30" i="22"/>
  <c r="O30" i="22"/>
  <c r="P59" i="22"/>
  <c r="O59" i="22"/>
  <c r="P17" i="22"/>
  <c r="P42" i="22"/>
  <c r="P86" i="22"/>
  <c r="P24" i="22"/>
  <c r="P95" i="22"/>
  <c r="P94" i="22"/>
  <c r="O94" i="22"/>
  <c r="P44" i="22"/>
  <c r="P56" i="22"/>
  <c r="T56" i="22" s="1"/>
  <c r="P65" i="22"/>
  <c r="P81" i="22"/>
  <c r="P32" i="22"/>
  <c r="P38" i="22"/>
  <c r="T38" i="22" s="1"/>
  <c r="P47" i="22"/>
  <c r="P49" i="22"/>
  <c r="P55" i="22"/>
  <c r="T55" i="22" s="1"/>
  <c r="P66" i="22"/>
  <c r="P77" i="22"/>
  <c r="T77" i="22" s="1"/>
  <c r="P78" i="22"/>
  <c r="T78" i="22" s="1"/>
  <c r="P72" i="22"/>
  <c r="P87" i="22"/>
  <c r="P93" i="22"/>
  <c r="P9" i="22"/>
  <c r="P50" i="22"/>
  <c r="P71" i="22"/>
  <c r="P76" i="22"/>
  <c r="T76" i="22" s="1"/>
  <c r="P88" i="22"/>
  <c r="P25" i="22"/>
  <c r="P27" i="22"/>
  <c r="P28" i="22"/>
  <c r="P37" i="22"/>
  <c r="T37" i="22" s="1"/>
  <c r="P34" i="22"/>
  <c r="P43" i="22"/>
  <c r="P26" i="22"/>
  <c r="P46" i="22"/>
  <c r="P48" i="22"/>
  <c r="P52" i="22"/>
  <c r="P62" i="22"/>
  <c r="T62" i="22" s="1"/>
  <c r="R62" i="22" s="1"/>
  <c r="P67" i="22"/>
  <c r="P74" i="22"/>
  <c r="P79" i="22"/>
  <c r="T79" i="22" s="1"/>
  <c r="P73" i="22"/>
  <c r="P92" i="22"/>
  <c r="P53" i="22"/>
  <c r="T53" i="22" s="1"/>
  <c r="P60" i="22"/>
  <c r="T60" i="22" s="1"/>
  <c r="S60" i="22" s="1"/>
  <c r="P10" i="22"/>
  <c r="P8" i="22"/>
  <c r="L2" i="22"/>
  <c r="P7" i="22"/>
  <c r="P16" i="22"/>
  <c r="P18" i="22"/>
  <c r="P29" i="22"/>
  <c r="P36" i="22"/>
  <c r="T36" i="22" s="1"/>
  <c r="P31" i="22"/>
  <c r="P33" i="22"/>
  <c r="P35" i="22"/>
  <c r="P39" i="22"/>
  <c r="T39" i="22" s="1"/>
  <c r="P41" i="22"/>
  <c r="P45" i="22"/>
  <c r="P54" i="22"/>
  <c r="T54" i="22" s="1"/>
  <c r="P51" i="22"/>
  <c r="P57" i="22"/>
  <c r="T57" i="22" s="1"/>
  <c r="P61" i="22"/>
  <c r="P64" i="22"/>
  <c r="P69" i="22"/>
  <c r="P75" i="22"/>
  <c r="P80" i="22"/>
  <c r="T80" i="22" s="1"/>
  <c r="P70" i="22"/>
  <c r="P85" i="22"/>
  <c r="J59" i="22"/>
  <c r="M59" i="22" s="1"/>
  <c r="AF59" i="22" s="1"/>
  <c r="J94" i="22"/>
  <c r="J17" i="22"/>
  <c r="M17" i="22" s="1"/>
  <c r="AF17" i="22" s="1"/>
  <c r="J22" i="22"/>
  <c r="M22" i="22" s="1"/>
  <c r="AF22" i="22" s="1"/>
  <c r="J30" i="22"/>
  <c r="J42" i="22"/>
  <c r="J86" i="22"/>
  <c r="J24" i="22"/>
  <c r="X24" i="22" s="1"/>
  <c r="J91" i="22"/>
  <c r="J95" i="22"/>
  <c r="AB86" i="22"/>
  <c r="AC86" i="22" s="1"/>
  <c r="Z91" i="22"/>
  <c r="AA91" i="22" s="1"/>
  <c r="Z98" i="22"/>
  <c r="AA98" i="22" s="1"/>
  <c r="Z65" i="22"/>
  <c r="AA65" i="22" s="1"/>
  <c r="Z93" i="22"/>
  <c r="AA93" i="22" s="1"/>
  <c r="AB95" i="22"/>
  <c r="AC95" i="22" s="1"/>
  <c r="Z88" i="22"/>
  <c r="AA88" i="22" s="1"/>
  <c r="J85" i="22"/>
  <c r="J87" i="22"/>
  <c r="J92" i="22"/>
  <c r="AB72" i="22"/>
  <c r="AC72" i="22" s="1"/>
  <c r="J88" i="22"/>
  <c r="J93" i="22"/>
  <c r="J98" i="22"/>
  <c r="Z70" i="22"/>
  <c r="AA70" i="22" s="1"/>
  <c r="AB85" i="22"/>
  <c r="AC85" i="22" s="1"/>
  <c r="Z87" i="22"/>
  <c r="AA87" i="22" s="1"/>
  <c r="Z92" i="22"/>
  <c r="AA92" i="22" s="1"/>
  <c r="AB94" i="22"/>
  <c r="AC94" i="22" s="1"/>
  <c r="Z64" i="22"/>
  <c r="AA64" i="22" s="1"/>
  <c r="AB66" i="22"/>
  <c r="AC66" i="22" s="1"/>
  <c r="J72" i="22"/>
  <c r="Z73" i="22"/>
  <c r="AA73" i="22" s="1"/>
  <c r="J73" i="22"/>
  <c r="J70" i="22"/>
  <c r="J61" i="22"/>
  <c r="AB35" i="22"/>
  <c r="AC35" i="22" s="1"/>
  <c r="Z62" i="22"/>
  <c r="AA62" i="22" s="1"/>
  <c r="Z61" i="22"/>
  <c r="AA61" i="22" s="1"/>
  <c r="J62" i="22"/>
  <c r="AB60" i="22"/>
  <c r="AC60" i="22" s="1"/>
  <c r="AB59" i="22"/>
  <c r="AC59" i="22" s="1"/>
  <c r="AB42" i="22"/>
  <c r="AC42" i="22" s="1"/>
  <c r="Z24" i="22"/>
  <c r="AA24" i="22" s="1"/>
  <c r="Z25" i="22"/>
  <c r="AA25" i="22" s="1"/>
  <c r="Z46" i="22"/>
  <c r="AA46" i="22" s="1"/>
  <c r="AB29" i="22"/>
  <c r="AC29" i="22" s="1"/>
  <c r="Z48" i="22"/>
  <c r="AA48" i="22" s="1"/>
  <c r="J60" i="22"/>
  <c r="AB7" i="22"/>
  <c r="AC7" i="22" s="1"/>
  <c r="AB15" i="22"/>
  <c r="AC15" i="22" s="1"/>
  <c r="AB30" i="22"/>
  <c r="AC30" i="22" s="1"/>
  <c r="Z44" i="22"/>
  <c r="AA44" i="22" s="1"/>
  <c r="AB28" i="22"/>
  <c r="AC28" i="22" s="1"/>
  <c r="AB38" i="22"/>
  <c r="AC38" i="22" s="1"/>
  <c r="Z52" i="22"/>
  <c r="AA52" i="22" s="1"/>
  <c r="J16" i="22"/>
  <c r="J55" i="22"/>
  <c r="J41" i="22"/>
  <c r="J47" i="22"/>
  <c r="J49" i="22"/>
  <c r="Z17" i="22"/>
  <c r="AA17" i="22" s="1"/>
  <c r="J18" i="22"/>
  <c r="AB32" i="22"/>
  <c r="AC32" i="22" s="1"/>
  <c r="Z27" i="22"/>
  <c r="AA27" i="22" s="1"/>
  <c r="AB36" i="22"/>
  <c r="AC36" i="22" s="1"/>
  <c r="AB34" i="22"/>
  <c r="AC34" i="22" s="1"/>
  <c r="AB40" i="22"/>
  <c r="AC40" i="22" s="1"/>
  <c r="J45" i="22"/>
  <c r="Z53" i="22"/>
  <c r="AA53" i="22" s="1"/>
  <c r="Z56" i="22"/>
  <c r="AA56" i="22" s="1"/>
  <c r="J57" i="22"/>
  <c r="AB39" i="22"/>
  <c r="AC39" i="22" s="1"/>
  <c r="J43" i="22"/>
  <c r="J54" i="22"/>
  <c r="Z50" i="22"/>
  <c r="AA50" i="22" s="1"/>
  <c r="J51" i="22"/>
  <c r="AB41" i="22"/>
  <c r="AC41" i="22" s="1"/>
  <c r="Z43" i="22"/>
  <c r="AA43" i="22" s="1"/>
  <c r="J44" i="22"/>
  <c r="AB45" i="22"/>
  <c r="AC45" i="22" s="1"/>
  <c r="Z47" i="22"/>
  <c r="AA47" i="22" s="1"/>
  <c r="J53" i="22"/>
  <c r="AB54" i="22"/>
  <c r="AC54" i="22" s="1"/>
  <c r="Z49" i="22"/>
  <c r="AA49" i="22" s="1"/>
  <c r="J50" i="22"/>
  <c r="AB51" i="22"/>
  <c r="AC51" i="22" s="1"/>
  <c r="Z55" i="22"/>
  <c r="AA55" i="22" s="1"/>
  <c r="J56" i="22"/>
  <c r="AB57" i="22"/>
  <c r="AC57" i="22" s="1"/>
  <c r="J46" i="22"/>
  <c r="J48" i="22"/>
  <c r="J52" i="22"/>
  <c r="AB37" i="22"/>
  <c r="AC37" i="22" s="1"/>
  <c r="AB31" i="22"/>
  <c r="AC31" i="22" s="1"/>
  <c r="AB33" i="22"/>
  <c r="AC33" i="22" s="1"/>
  <c r="J28" i="22"/>
  <c r="J37" i="22"/>
  <c r="J32" i="22"/>
  <c r="J33" i="22"/>
  <c r="J34" i="22"/>
  <c r="J38" i="22"/>
  <c r="J39" i="22"/>
  <c r="J40" i="22"/>
  <c r="J29" i="22"/>
  <c r="J36" i="22"/>
  <c r="J31" i="22"/>
  <c r="J35" i="22"/>
  <c r="J26" i="22"/>
  <c r="Z26" i="22"/>
  <c r="AA26" i="22" s="1"/>
  <c r="J27" i="22"/>
  <c r="J25" i="22"/>
  <c r="J15" i="22"/>
  <c r="AB16" i="22"/>
  <c r="AC16" i="22" s="1"/>
  <c r="Z18" i="22"/>
  <c r="AA18" i="22" s="1"/>
  <c r="AB22" i="22"/>
  <c r="AC22" i="22" s="1"/>
  <c r="J7" i="22"/>
  <c r="J14" i="22"/>
  <c r="AB14" i="22"/>
  <c r="AC14" i="22" s="1"/>
  <c r="K26" i="6"/>
  <c r="N26" i="6"/>
  <c r="Q26" i="6"/>
  <c r="S13" i="22" l="1"/>
  <c r="R13" i="22"/>
  <c r="Q13" i="22"/>
  <c r="Q21" i="22"/>
  <c r="R21" i="22"/>
  <c r="S21" i="22"/>
  <c r="Q90" i="22"/>
  <c r="S90" i="22"/>
  <c r="R90" i="22"/>
  <c r="R97" i="22"/>
  <c r="Q97" i="22"/>
  <c r="S97" i="22"/>
  <c r="V68" i="22"/>
  <c r="S68" i="22"/>
  <c r="R68" i="22"/>
  <c r="U68" i="22"/>
  <c r="Q68" i="22"/>
  <c r="O53" i="22"/>
  <c r="O54" i="22"/>
  <c r="O34" i="22"/>
  <c r="O35" i="22"/>
  <c r="R20" i="22"/>
  <c r="S20" i="22"/>
  <c r="Q20" i="22"/>
  <c r="R96" i="22"/>
  <c r="Q96" i="22"/>
  <c r="S96" i="22"/>
  <c r="O15" i="22"/>
  <c r="O16" i="22"/>
  <c r="O51" i="22"/>
  <c r="O52" i="22"/>
  <c r="O36" i="22"/>
  <c r="O37" i="22"/>
  <c r="O7" i="22"/>
  <c r="O8" i="22"/>
  <c r="O85" i="22"/>
  <c r="O86" i="22"/>
  <c r="O92" i="22"/>
  <c r="O93" i="22"/>
  <c r="V82" i="22"/>
  <c r="S82" i="22"/>
  <c r="U82" i="22"/>
  <c r="Q82" i="22"/>
  <c r="R82" i="22"/>
  <c r="O48" i="22"/>
  <c r="O49" i="22"/>
  <c r="O24" i="22"/>
  <c r="O25" i="22"/>
  <c r="O41" i="22"/>
  <c r="O42" i="22"/>
  <c r="O31" i="22"/>
  <c r="O32" i="22"/>
  <c r="O26" i="22"/>
  <c r="O27" i="22"/>
  <c r="O43" i="22"/>
  <c r="O44" i="22"/>
  <c r="R89" i="22"/>
  <c r="S89" i="22"/>
  <c r="Q89" i="22"/>
  <c r="S12" i="22"/>
  <c r="R12" i="22"/>
  <c r="Q12" i="22"/>
  <c r="V79" i="22"/>
  <c r="U79" i="22"/>
  <c r="V76" i="22"/>
  <c r="U76" i="22"/>
  <c r="U78" i="22"/>
  <c r="V78" i="22"/>
  <c r="S83" i="22"/>
  <c r="U83" i="22"/>
  <c r="V83" i="22"/>
  <c r="V77" i="22"/>
  <c r="U77" i="22"/>
  <c r="V80" i="22"/>
  <c r="U80" i="22"/>
  <c r="V53" i="22"/>
  <c r="U53" i="22"/>
  <c r="U57" i="22"/>
  <c r="V57" i="22"/>
  <c r="U54" i="22"/>
  <c r="V54" i="22"/>
  <c r="U55" i="22"/>
  <c r="V55" i="22"/>
  <c r="V56" i="22"/>
  <c r="U56" i="22"/>
  <c r="R83" i="22"/>
  <c r="Q83" i="22"/>
  <c r="Q62" i="22"/>
  <c r="S62" i="22"/>
  <c r="R60" i="22"/>
  <c r="X54" i="22"/>
  <c r="X18" i="22"/>
  <c r="M41" i="22"/>
  <c r="AF41" i="22" s="1"/>
  <c r="X43" i="22"/>
  <c r="X55" i="22"/>
  <c r="X92" i="22"/>
  <c r="Q60" i="22"/>
  <c r="M91" i="22"/>
  <c r="AF91" i="22" s="1"/>
  <c r="X86" i="22"/>
  <c r="X26" i="22"/>
  <c r="M45" i="22"/>
  <c r="AF45" i="22" s="1"/>
  <c r="M16" i="22"/>
  <c r="AF16" i="22" s="1"/>
  <c r="M60" i="22"/>
  <c r="AF60" i="22" s="1"/>
  <c r="X87" i="22"/>
  <c r="X51" i="22"/>
  <c r="X49" i="22"/>
  <c r="X59" i="22"/>
  <c r="X17" i="22"/>
  <c r="M57" i="22"/>
  <c r="AF57" i="22" s="1"/>
  <c r="X47" i="22"/>
  <c r="X61" i="22"/>
  <c r="X94" i="22"/>
  <c r="M94" i="22"/>
  <c r="AF94" i="22" s="1"/>
  <c r="M85" i="22"/>
  <c r="AF85" i="22" s="1"/>
  <c r="M95" i="22"/>
  <c r="AF95" i="22" s="1"/>
  <c r="M24" i="22"/>
  <c r="M42" i="22"/>
  <c r="AF42" i="22" s="1"/>
  <c r="X22" i="22"/>
  <c r="M92" i="22"/>
  <c r="AF92" i="22" s="1"/>
  <c r="X95" i="22"/>
  <c r="X91" i="22"/>
  <c r="M86" i="22"/>
  <c r="AF86" i="22" s="1"/>
  <c r="X42" i="22"/>
  <c r="M54" i="22"/>
  <c r="AF54" i="22" s="1"/>
  <c r="X85" i="22"/>
  <c r="M87" i="22"/>
  <c r="AF87" i="22" s="1"/>
  <c r="X70" i="22"/>
  <c r="M98" i="22"/>
  <c r="AF98" i="22" s="1"/>
  <c r="X98" i="22"/>
  <c r="M93" i="22"/>
  <c r="AF93" i="22" s="1"/>
  <c r="X93" i="22"/>
  <c r="M88" i="22"/>
  <c r="AF88" i="22" s="1"/>
  <c r="X88" i="22"/>
  <c r="X72" i="22"/>
  <c r="M72" i="22"/>
  <c r="AF72" i="22" s="1"/>
  <c r="M73" i="22"/>
  <c r="AF73" i="22" s="1"/>
  <c r="X73" i="22"/>
  <c r="M70" i="22"/>
  <c r="AF70" i="22" s="1"/>
  <c r="X16" i="22"/>
  <c r="M61" i="22"/>
  <c r="AF61" i="22" s="1"/>
  <c r="M55" i="22"/>
  <c r="AF55" i="22" s="1"/>
  <c r="M62" i="22"/>
  <c r="AF62" i="22" s="1"/>
  <c r="X62" i="22"/>
  <c r="X57" i="22"/>
  <c r="X41" i="22"/>
  <c r="X60" i="22"/>
  <c r="X45" i="22"/>
  <c r="M51" i="22"/>
  <c r="AF51" i="22" s="1"/>
  <c r="M47" i="22"/>
  <c r="AF47" i="22" s="1"/>
  <c r="M18" i="22"/>
  <c r="AF18" i="22" s="1"/>
  <c r="M49" i="22"/>
  <c r="AF49" i="22" s="1"/>
  <c r="M14" i="22"/>
  <c r="M43" i="22"/>
  <c r="AF43" i="22" s="1"/>
  <c r="M48" i="22"/>
  <c r="AF48" i="22" s="1"/>
  <c r="X48" i="22"/>
  <c r="X50" i="22"/>
  <c r="M50" i="22"/>
  <c r="AF50" i="22" s="1"/>
  <c r="M44" i="22"/>
  <c r="AF44" i="22" s="1"/>
  <c r="X44" i="22"/>
  <c r="M52" i="22"/>
  <c r="AF52" i="22" s="1"/>
  <c r="X52" i="22"/>
  <c r="M46" i="22"/>
  <c r="AF46" i="22" s="1"/>
  <c r="X46" i="22"/>
  <c r="X56" i="22"/>
  <c r="M56" i="22"/>
  <c r="AF56" i="22" s="1"/>
  <c r="X53" i="22"/>
  <c r="M53" i="22"/>
  <c r="AF53" i="22" s="1"/>
  <c r="M32" i="22"/>
  <c r="AF32" i="22" s="1"/>
  <c r="X32" i="22"/>
  <c r="M29" i="22"/>
  <c r="AF29" i="22" s="1"/>
  <c r="X29" i="22"/>
  <c r="M38" i="22"/>
  <c r="AF38" i="22" s="1"/>
  <c r="X38" i="22"/>
  <c r="X37" i="22"/>
  <c r="M37" i="22"/>
  <c r="AF37" i="22" s="1"/>
  <c r="X39" i="22"/>
  <c r="M39" i="22"/>
  <c r="AF39" i="22" s="1"/>
  <c r="X35" i="22"/>
  <c r="M35" i="22"/>
  <c r="AF35" i="22" s="1"/>
  <c r="M34" i="22"/>
  <c r="AF34" i="22" s="1"/>
  <c r="X34" i="22"/>
  <c r="X30" i="22"/>
  <c r="M30" i="22"/>
  <c r="AF30" i="22" s="1"/>
  <c r="M36" i="22"/>
  <c r="AF36" i="22" s="1"/>
  <c r="X36" i="22"/>
  <c r="X31" i="22"/>
  <c r="M31" i="22"/>
  <c r="AF31" i="22" s="1"/>
  <c r="X40" i="22"/>
  <c r="M40" i="22"/>
  <c r="AF40" i="22" s="1"/>
  <c r="M33" i="22"/>
  <c r="AF33" i="22" s="1"/>
  <c r="X33" i="22"/>
  <c r="X28" i="22"/>
  <c r="M28" i="22"/>
  <c r="AF28" i="22" s="1"/>
  <c r="M26" i="22"/>
  <c r="AF26" i="22" s="1"/>
  <c r="M27" i="22"/>
  <c r="AF27" i="22" s="1"/>
  <c r="X27" i="22"/>
  <c r="M25" i="22"/>
  <c r="AF25" i="22" s="1"/>
  <c r="X25" i="22"/>
  <c r="M15" i="22"/>
  <c r="AF15" i="22" s="1"/>
  <c r="X15" i="22"/>
  <c r="M7" i="22"/>
  <c r="X7" i="22"/>
  <c r="X14" i="22"/>
  <c r="AF7" i="22" l="1"/>
  <c r="AF24" i="22"/>
  <c r="AF14" i="22"/>
  <c r="I28" i="33"/>
  <c r="I26" i="33"/>
  <c r="I24" i="33"/>
  <c r="I23" i="33"/>
  <c r="I22" i="33"/>
  <c r="I20" i="33"/>
  <c r="I18" i="33"/>
  <c r="I16" i="33"/>
  <c r="I14" i="33"/>
  <c r="I12" i="33"/>
  <c r="I10" i="33"/>
  <c r="I7" i="33"/>
  <c r="I6" i="33"/>
  <c r="I5" i="33"/>
  <c r="J26" i="6" l="1"/>
  <c r="J66" i="22"/>
  <c r="T7" i="22" l="1"/>
  <c r="T14" i="22"/>
  <c r="T91" i="22"/>
  <c r="T22" i="22"/>
  <c r="T98" i="22"/>
  <c r="T72" i="22"/>
  <c r="T47" i="22"/>
  <c r="T46" i="22"/>
  <c r="T73" i="22"/>
  <c r="T29" i="22"/>
  <c r="T30" i="22"/>
  <c r="T33" i="22"/>
  <c r="T49" i="22"/>
  <c r="T48" i="22"/>
  <c r="T50" i="22"/>
  <c r="T31" i="22"/>
  <c r="T32" i="22"/>
  <c r="T25" i="22"/>
  <c r="T24" i="22"/>
  <c r="T41" i="22"/>
  <c r="T42" i="22"/>
  <c r="T51" i="22"/>
  <c r="T34" i="22"/>
  <c r="T35" i="22"/>
  <c r="T52" i="22"/>
  <c r="T70" i="22"/>
  <c r="T43" i="22"/>
  <c r="T27" i="22"/>
  <c r="T28" i="22"/>
  <c r="T45" i="22"/>
  <c r="T44" i="22"/>
  <c r="T26" i="22"/>
  <c r="T17" i="22"/>
  <c r="T87" i="22"/>
  <c r="T94" i="22"/>
  <c r="T85" i="22"/>
  <c r="T93" i="22"/>
  <c r="T92" i="22"/>
  <c r="T86" i="22"/>
  <c r="T15" i="22"/>
  <c r="T16" i="22"/>
  <c r="T18" i="22"/>
  <c r="T88" i="22"/>
  <c r="T95" i="22"/>
  <c r="T61" i="22"/>
  <c r="T59" i="22"/>
  <c r="M66" i="22"/>
  <c r="AF66" i="22" s="1"/>
  <c r="X66" i="22"/>
  <c r="U70" i="22" l="1"/>
  <c r="V70" i="22"/>
  <c r="V72" i="22"/>
  <c r="U72" i="22"/>
  <c r="V73" i="22"/>
  <c r="U73" i="22"/>
  <c r="V48" i="22"/>
  <c r="U48" i="22"/>
  <c r="V52" i="22"/>
  <c r="U52" i="22"/>
  <c r="U41" i="22"/>
  <c r="V41" i="22"/>
  <c r="U46" i="22"/>
  <c r="V46" i="22"/>
  <c r="V44" i="22"/>
  <c r="U44" i="22"/>
  <c r="U43" i="22"/>
  <c r="V43" i="22"/>
  <c r="U50" i="22"/>
  <c r="V50" i="22"/>
  <c r="V47" i="22"/>
  <c r="U47" i="22"/>
  <c r="U51" i="22"/>
  <c r="V51" i="22"/>
  <c r="V45" i="22"/>
  <c r="U45" i="22"/>
  <c r="U42" i="22"/>
  <c r="V42" i="22"/>
  <c r="U49" i="22"/>
  <c r="V49" i="22"/>
  <c r="V37" i="22"/>
  <c r="U37" i="22"/>
  <c r="U25" i="22"/>
  <c r="V25" i="22"/>
  <c r="U28" i="22"/>
  <c r="V28" i="22"/>
  <c r="V32" i="22"/>
  <c r="U32" i="22"/>
  <c r="U38" i="22"/>
  <c r="V38" i="22"/>
  <c r="V39" i="22"/>
  <c r="U39" i="22"/>
  <c r="V29" i="22"/>
  <c r="U29" i="22"/>
  <c r="U26" i="22"/>
  <c r="V26" i="22"/>
  <c r="V27" i="22"/>
  <c r="U27" i="22"/>
  <c r="V35" i="22"/>
  <c r="U35" i="22"/>
  <c r="V31" i="22"/>
  <c r="U31" i="22"/>
  <c r="U33" i="22"/>
  <c r="V33" i="22"/>
  <c r="V40" i="22"/>
  <c r="U40" i="22"/>
  <c r="U36" i="22"/>
  <c r="V36" i="22"/>
  <c r="U34" i="22"/>
  <c r="V34" i="22"/>
  <c r="U24" i="22"/>
  <c r="V24" i="22"/>
  <c r="U30" i="22"/>
  <c r="V30" i="22"/>
  <c r="R7" i="22"/>
  <c r="Z7" i="51" s="1"/>
  <c r="Q7" i="22"/>
  <c r="S7" i="22"/>
  <c r="Q16" i="22"/>
  <c r="R16" i="22"/>
  <c r="S16" i="22"/>
  <c r="Q56" i="22"/>
  <c r="S56" i="22"/>
  <c r="R56" i="22"/>
  <c r="Q32" i="22"/>
  <c r="R32" i="22"/>
  <c r="S32" i="22"/>
  <c r="Q73" i="22"/>
  <c r="R73" i="22"/>
  <c r="S73" i="22"/>
  <c r="Q98" i="22"/>
  <c r="S98" i="22"/>
  <c r="R98" i="22"/>
  <c r="R95" i="22"/>
  <c r="S95" i="22"/>
  <c r="Q95" i="22"/>
  <c r="S88" i="22"/>
  <c r="Q88" i="22"/>
  <c r="R88" i="22"/>
  <c r="R86" i="22"/>
  <c r="Q86" i="22"/>
  <c r="S86" i="22"/>
  <c r="R40" i="22"/>
  <c r="S40" i="22"/>
  <c r="Q40" i="22"/>
  <c r="S36" i="22"/>
  <c r="Q36" i="22"/>
  <c r="R36" i="22"/>
  <c r="Q17" i="22"/>
  <c r="R17" i="22"/>
  <c r="S17" i="22"/>
  <c r="S44" i="22"/>
  <c r="R44" i="22"/>
  <c r="Q44" i="22"/>
  <c r="S43" i="22"/>
  <c r="R43" i="22"/>
  <c r="Q43" i="22"/>
  <c r="R34" i="22"/>
  <c r="S34" i="22"/>
  <c r="Q34" i="22"/>
  <c r="R24" i="22"/>
  <c r="S24" i="22"/>
  <c r="Q24" i="22"/>
  <c r="S50" i="22"/>
  <c r="R50" i="22"/>
  <c r="Q50" i="22"/>
  <c r="S30" i="22"/>
  <c r="R30" i="22"/>
  <c r="Q30" i="22"/>
  <c r="R47" i="22"/>
  <c r="S47" i="22"/>
  <c r="Q47" i="22"/>
  <c r="R91" i="22"/>
  <c r="S91" i="22"/>
  <c r="Q91" i="22"/>
  <c r="S54" i="22"/>
  <c r="Q54" i="22"/>
  <c r="R54" i="22"/>
  <c r="R52" i="22"/>
  <c r="S52" i="22"/>
  <c r="Q52" i="22"/>
  <c r="Q18" i="22"/>
  <c r="S18" i="22"/>
  <c r="R18" i="22"/>
  <c r="R92" i="22"/>
  <c r="S92" i="22"/>
  <c r="Q92" i="22"/>
  <c r="R57" i="22"/>
  <c r="S57" i="22"/>
  <c r="Q57" i="22"/>
  <c r="S37" i="22"/>
  <c r="Q37" i="22"/>
  <c r="R37" i="22"/>
  <c r="R39" i="22"/>
  <c r="S39" i="22"/>
  <c r="Q39" i="22"/>
  <c r="S45" i="22"/>
  <c r="R45" i="22"/>
  <c r="Q45" i="22"/>
  <c r="S70" i="22"/>
  <c r="Q70" i="22"/>
  <c r="R70" i="22"/>
  <c r="Q51" i="22"/>
  <c r="R51" i="22"/>
  <c r="S51" i="22"/>
  <c r="R25" i="22"/>
  <c r="S25" i="22"/>
  <c r="Q25" i="22"/>
  <c r="R48" i="22"/>
  <c r="Q48" i="22"/>
  <c r="S48" i="22"/>
  <c r="R29" i="22"/>
  <c r="S29" i="22"/>
  <c r="Q29" i="22"/>
  <c r="S72" i="22"/>
  <c r="R72" i="22"/>
  <c r="Q72" i="22"/>
  <c r="S14" i="22"/>
  <c r="R14" i="22"/>
  <c r="Q14" i="22"/>
  <c r="S93" i="22"/>
  <c r="R93" i="22"/>
  <c r="Q93" i="22"/>
  <c r="R94" i="22"/>
  <c r="S94" i="22"/>
  <c r="Q94" i="22"/>
  <c r="R28" i="22"/>
  <c r="S28" i="22"/>
  <c r="Q28" i="22"/>
  <c r="R42" i="22"/>
  <c r="S42" i="22"/>
  <c r="Q42" i="22"/>
  <c r="Q49" i="22"/>
  <c r="R49" i="22"/>
  <c r="S49" i="22"/>
  <c r="S38" i="22"/>
  <c r="Q38" i="22"/>
  <c r="R38" i="22"/>
  <c r="S15" i="22"/>
  <c r="Q15" i="22"/>
  <c r="R15" i="22"/>
  <c r="S85" i="22"/>
  <c r="Q85" i="22"/>
  <c r="R85" i="22"/>
  <c r="S53" i="22"/>
  <c r="Q53" i="22"/>
  <c r="R53" i="22"/>
  <c r="Q87" i="22"/>
  <c r="R87" i="22"/>
  <c r="S87" i="22"/>
  <c r="Q26" i="22"/>
  <c r="S26" i="22"/>
  <c r="R26" i="22"/>
  <c r="R27" i="22"/>
  <c r="Q27" i="22"/>
  <c r="S27" i="22"/>
  <c r="R35" i="22"/>
  <c r="S35" i="22"/>
  <c r="Q35" i="22"/>
  <c r="R41" i="22"/>
  <c r="Q41" i="22"/>
  <c r="S41" i="22"/>
  <c r="R31" i="22"/>
  <c r="S31" i="22"/>
  <c r="Q31" i="22"/>
  <c r="Q33" i="22"/>
  <c r="S33" i="22"/>
  <c r="R33" i="22"/>
  <c r="R46" i="22"/>
  <c r="S46" i="22"/>
  <c r="Q46" i="22"/>
  <c r="Q22" i="22"/>
  <c r="S22" i="22"/>
  <c r="R22" i="22"/>
  <c r="R55" i="22"/>
  <c r="Q55" i="22"/>
  <c r="S55" i="22"/>
  <c r="S59" i="22"/>
  <c r="Q59" i="22"/>
  <c r="R59" i="22"/>
  <c r="S61" i="22"/>
  <c r="R61" i="22"/>
  <c r="Q61" i="22"/>
  <c r="T20" i="6" l="1"/>
  <c r="Q20" i="6" l="1"/>
  <c r="K20" i="6"/>
  <c r="J20" i="6"/>
  <c r="N20" i="6"/>
  <c r="Y80" i="22" l="1"/>
  <c r="Z80" i="22" s="1"/>
  <c r="AA80" i="22" s="1"/>
  <c r="Y83" i="22"/>
  <c r="AB83" i="22" s="1"/>
  <c r="AC83" i="22" s="1"/>
  <c r="Y81" i="22"/>
  <c r="AB81" i="22" s="1"/>
  <c r="AC81" i="22" s="1"/>
  <c r="Y79" i="22"/>
  <c r="AB79" i="22" s="1"/>
  <c r="AC79" i="22" s="1"/>
  <c r="Y78" i="22"/>
  <c r="AB78" i="22" s="1"/>
  <c r="AC78" i="22" s="1"/>
  <c r="T19" i="6"/>
  <c r="N17" i="6"/>
  <c r="Z83" i="22" l="1"/>
  <c r="AA83" i="22" s="1"/>
  <c r="Z78" i="22"/>
  <c r="AA78" i="22" s="1"/>
  <c r="J79" i="22"/>
  <c r="Q18" i="6"/>
  <c r="J83" i="22"/>
  <c r="J80" i="22"/>
  <c r="AB80" i="22"/>
  <c r="AC80" i="22" s="1"/>
  <c r="Z79" i="22"/>
  <c r="AA79" i="22" s="1"/>
  <c r="Z81" i="22"/>
  <c r="AA81" i="22" s="1"/>
  <c r="K19" i="6"/>
  <c r="K17" i="6"/>
  <c r="T17" i="6"/>
  <c r="Q17" i="6"/>
  <c r="N19" i="6"/>
  <c r="Q19" i="6"/>
  <c r="Y76" i="22"/>
  <c r="AB76" i="22" s="1"/>
  <c r="AC76" i="22" s="1"/>
  <c r="Y75" i="22"/>
  <c r="Y74" i="22"/>
  <c r="AB74" i="22" s="1"/>
  <c r="AC74" i="22" s="1"/>
  <c r="Y77" i="22"/>
  <c r="Z77" i="22" s="1"/>
  <c r="AA77" i="22" s="1"/>
  <c r="Y71" i="22"/>
  <c r="AB71" i="22" s="1"/>
  <c r="AC71" i="22" s="1"/>
  <c r="Y69" i="22"/>
  <c r="Z69" i="22" s="1"/>
  <c r="AA69" i="22" s="1"/>
  <c r="Y67" i="22"/>
  <c r="AB67" i="22" s="1"/>
  <c r="AC67" i="22" s="1"/>
  <c r="Y10" i="22"/>
  <c r="Z10" i="22" s="1"/>
  <c r="AA10" i="22" s="1"/>
  <c r="Y9" i="22"/>
  <c r="Y8" i="22"/>
  <c r="AB8" i="22" s="1"/>
  <c r="AC8" i="22" s="1"/>
  <c r="X83" i="22" l="1"/>
  <c r="Z71" i="22"/>
  <c r="AA71" i="22" s="1"/>
  <c r="Z67" i="22"/>
  <c r="AA67" i="22" s="1"/>
  <c r="X79" i="22"/>
  <c r="N18" i="6"/>
  <c r="K18" i="6"/>
  <c r="T18" i="6"/>
  <c r="J78" i="22"/>
  <c r="M79" i="22"/>
  <c r="AF79" i="22" s="1"/>
  <c r="J81" i="22"/>
  <c r="J19" i="6"/>
  <c r="J17" i="6"/>
  <c r="J18" i="6"/>
  <c r="M80" i="22"/>
  <c r="AF80" i="22" s="1"/>
  <c r="X80" i="22"/>
  <c r="M83" i="22"/>
  <c r="AF83" i="22" s="1"/>
  <c r="AB10" i="22"/>
  <c r="AC10" i="22" s="1"/>
  <c r="Z74" i="22"/>
  <c r="AA74" i="22" s="1"/>
  <c r="Z9" i="22"/>
  <c r="AA9" i="22" s="1"/>
  <c r="AB9" i="22"/>
  <c r="AC9" i="22" s="1"/>
  <c r="AB77" i="22"/>
  <c r="AC77" i="22" s="1"/>
  <c r="AB75" i="22"/>
  <c r="AC75" i="22" s="1"/>
  <c r="Z75" i="22"/>
  <c r="AA75" i="22" s="1"/>
  <c r="Z76" i="22"/>
  <c r="AA76" i="22" s="1"/>
  <c r="AB69" i="22"/>
  <c r="AC69" i="22" s="1"/>
  <c r="Z8" i="22"/>
  <c r="AA8" i="22" s="1"/>
  <c r="M78" i="22" l="1"/>
  <c r="AF78" i="22" s="1"/>
  <c r="X78" i="22"/>
  <c r="X81" i="22"/>
  <c r="M81" i="22"/>
  <c r="AF81" i="22" s="1"/>
  <c r="T23" i="6" l="1"/>
  <c r="Q23" i="6" l="1"/>
  <c r="K23" i="6"/>
  <c r="N23" i="6"/>
  <c r="J23" i="6"/>
  <c r="T21" i="6" l="1"/>
  <c r="N21" i="6" l="1"/>
  <c r="J21" i="6"/>
  <c r="Q21" i="6"/>
  <c r="K21" i="6"/>
  <c r="J67" i="22" l="1"/>
  <c r="J69" i="22"/>
  <c r="J65" i="22"/>
  <c r="J64" i="22"/>
  <c r="J8" i="22"/>
  <c r="J9" i="22"/>
  <c r="J10" i="22"/>
  <c r="X67" i="22" l="1"/>
  <c r="X64" i="22"/>
  <c r="X69" i="22"/>
  <c r="J77" i="22"/>
  <c r="J74" i="22"/>
  <c r="J22" i="6"/>
  <c r="J76" i="22"/>
  <c r="J75" i="22"/>
  <c r="J71" i="22"/>
  <c r="J16" i="6"/>
  <c r="X71" i="22" l="1"/>
  <c r="M69" i="22"/>
  <c r="AF69" i="22" s="1"/>
  <c r="M67" i="22"/>
  <c r="AF67" i="22" s="1"/>
  <c r="M9" i="22"/>
  <c r="AF9" i="22" s="1"/>
  <c r="M64" i="22"/>
  <c r="AF64" i="22" s="1"/>
  <c r="M10" i="22"/>
  <c r="AF10" i="22" s="1"/>
  <c r="M65" i="22"/>
  <c r="AF65" i="22" s="1"/>
  <c r="M8" i="22"/>
  <c r="X65" i="22"/>
  <c r="X8" i="22"/>
  <c r="X10" i="22"/>
  <c r="X9" i="22"/>
  <c r="X75" i="22"/>
  <c r="X77" i="22"/>
  <c r="X76" i="22"/>
  <c r="Z11" i="51" l="1"/>
  <c r="Z17" i="51"/>
  <c r="AF8" i="22"/>
  <c r="Z56" i="51"/>
  <c r="Z58" i="51"/>
  <c r="Z18" i="51"/>
  <c r="Z29" i="51"/>
  <c r="Z49" i="51"/>
  <c r="Z36" i="51"/>
  <c r="Z30" i="51"/>
  <c r="Z45" i="51"/>
  <c r="Z22" i="51"/>
  <c r="Z46" i="51"/>
  <c r="Z34" i="51"/>
  <c r="Z25" i="51"/>
  <c r="Z26" i="51"/>
  <c r="Z14" i="51"/>
  <c r="Z38" i="51"/>
  <c r="Z23" i="51"/>
  <c r="Z15" i="51"/>
  <c r="Z50" i="51"/>
  <c r="Z13" i="51"/>
  <c r="Z20" i="51"/>
  <c r="Z21" i="51"/>
  <c r="Z47" i="51"/>
  <c r="Z39" i="51"/>
  <c r="Z53" i="51"/>
  <c r="Z65" i="51"/>
  <c r="Z51" i="51"/>
  <c r="Z12" i="51"/>
  <c r="Z28" i="51"/>
  <c r="Z42" i="51"/>
  <c r="Z44" i="51"/>
  <c r="Z40" i="51"/>
  <c r="Z35" i="51"/>
  <c r="Z32" i="51"/>
  <c r="Z55" i="51"/>
  <c r="Z27" i="51"/>
  <c r="Z48" i="51"/>
  <c r="Z43" i="51"/>
  <c r="Z57" i="51"/>
  <c r="Z31" i="51"/>
  <c r="Z33" i="51"/>
  <c r="Z37" i="51"/>
  <c r="Z16" i="51"/>
  <c r="Z52" i="51"/>
  <c r="M75" i="22"/>
  <c r="M77" i="22"/>
  <c r="AF77" i="22" s="1"/>
  <c r="M74" i="22"/>
  <c r="AF74" i="22" s="1"/>
  <c r="X74" i="22"/>
  <c r="M76" i="22"/>
  <c r="AF76" i="22" s="1"/>
  <c r="M71" i="22"/>
  <c r="AF71" i="22" s="1"/>
  <c r="T12" i="6"/>
  <c r="K12" i="6"/>
  <c r="N12" i="6"/>
  <c r="Q12" i="6"/>
  <c r="Z90" i="51" l="1"/>
  <c r="Z84" i="51"/>
  <c r="Z77" i="51"/>
  <c r="Z68" i="51"/>
  <c r="Z41" i="51"/>
  <c r="Z24" i="51"/>
  <c r="Z67" i="51"/>
  <c r="AF75" i="22"/>
  <c r="Z80" i="51"/>
  <c r="Z85" i="51"/>
  <c r="Z89" i="51"/>
  <c r="Z54" i="51"/>
  <c r="Z81" i="51"/>
  <c r="Z86" i="51"/>
  <c r="Z91" i="51"/>
  <c r="Z59" i="51"/>
  <c r="Z78" i="51"/>
  <c r="Z82" i="51"/>
  <c r="Z87" i="51"/>
  <c r="Z19" i="51"/>
  <c r="Z79" i="51"/>
  <c r="Z83" i="51"/>
  <c r="Z88" i="51"/>
  <c r="J12" i="6"/>
  <c r="T81" i="22" l="1"/>
  <c r="T75" i="22"/>
  <c r="T66" i="22"/>
  <c r="T69" i="22"/>
  <c r="T67" i="22"/>
  <c r="J24" i="6"/>
  <c r="J25" i="6"/>
  <c r="J14" i="6"/>
  <c r="J13" i="6"/>
  <c r="T65" i="22"/>
  <c r="T64" i="22"/>
  <c r="T71" i="22"/>
  <c r="T74" i="22"/>
  <c r="J11" i="6"/>
  <c r="T8" i="22"/>
  <c r="T10" i="22"/>
  <c r="T9" i="22"/>
  <c r="N16" i="6"/>
  <c r="T16" i="6"/>
  <c r="K16" i="6"/>
  <c r="Q16" i="6"/>
  <c r="N25" i="6"/>
  <c r="T25" i="6"/>
  <c r="Q25" i="6"/>
  <c r="K25" i="6"/>
  <c r="Q14" i="6"/>
  <c r="K14" i="6"/>
  <c r="T14" i="6"/>
  <c r="N14" i="6"/>
  <c r="T13" i="6"/>
  <c r="N13" i="6"/>
  <c r="Q13" i="6"/>
  <c r="K13" i="6"/>
  <c r="N22" i="6"/>
  <c r="K22" i="6"/>
  <c r="T22" i="6"/>
  <c r="Q22" i="6"/>
  <c r="K11" i="6"/>
  <c r="Q11" i="6"/>
  <c r="N11" i="6"/>
  <c r="T11" i="6"/>
  <c r="K24" i="6"/>
  <c r="Q24" i="6"/>
  <c r="N24" i="6"/>
  <c r="T24" i="6"/>
  <c r="V71" i="22" l="1"/>
  <c r="U71" i="22"/>
  <c r="V69" i="22"/>
  <c r="U69" i="22"/>
  <c r="V66" i="22"/>
  <c r="U66" i="22"/>
  <c r="U65" i="22"/>
  <c r="V65" i="22"/>
  <c r="V75" i="22"/>
  <c r="U75" i="22"/>
  <c r="U74" i="22"/>
  <c r="V74" i="22"/>
  <c r="V67" i="22"/>
  <c r="U67" i="22"/>
  <c r="V81" i="22"/>
  <c r="U81" i="22"/>
  <c r="U64" i="22"/>
  <c r="V64" i="22"/>
  <c r="S74" i="22"/>
  <c r="Q74" i="22"/>
  <c r="R74" i="22"/>
  <c r="Z69" i="51" s="1"/>
  <c r="S66" i="22"/>
  <c r="Q66" i="22"/>
  <c r="R66" i="22"/>
  <c r="Z62" i="51" s="1"/>
  <c r="S10" i="22"/>
  <c r="R10" i="22"/>
  <c r="Z10" i="51" s="1"/>
  <c r="Q10" i="22"/>
  <c r="S71" i="22"/>
  <c r="Q71" i="22"/>
  <c r="R71" i="22"/>
  <c r="Z66" i="51" s="1"/>
  <c r="S69" i="22"/>
  <c r="Q69" i="22"/>
  <c r="R69" i="22"/>
  <c r="Z64" i="51" s="1"/>
  <c r="S80" i="22"/>
  <c r="Q80" i="22"/>
  <c r="R80" i="22"/>
  <c r="Z75" i="51" s="1"/>
  <c r="S78" i="22"/>
  <c r="Q78" i="22"/>
  <c r="R78" i="22"/>
  <c r="Z73" i="51" s="1"/>
  <c r="S65" i="22"/>
  <c r="Q65" i="22"/>
  <c r="R65" i="22"/>
  <c r="Z61" i="51" s="1"/>
  <c r="S76" i="22"/>
  <c r="Q76" i="22"/>
  <c r="R76" i="22"/>
  <c r="Z71" i="51" s="1"/>
  <c r="S81" i="22"/>
  <c r="Q81" i="22"/>
  <c r="R81" i="22"/>
  <c r="Z76" i="51" s="1"/>
  <c r="S9" i="22"/>
  <c r="R9" i="22"/>
  <c r="Z9" i="51" s="1"/>
  <c r="Q9" i="22"/>
  <c r="S64" i="22"/>
  <c r="Q64" i="22"/>
  <c r="R64" i="22"/>
  <c r="Z60" i="51" s="1"/>
  <c r="S77" i="22"/>
  <c r="Q77" i="22"/>
  <c r="R77" i="22"/>
  <c r="Z72" i="51" s="1"/>
  <c r="S8" i="22"/>
  <c r="R8" i="22"/>
  <c r="Z8" i="51" s="1"/>
  <c r="Q8" i="22"/>
  <c r="S67" i="22"/>
  <c r="Q67" i="22"/>
  <c r="R67" i="22"/>
  <c r="Z63" i="51" s="1"/>
  <c r="S75" i="22"/>
  <c r="Q75" i="22"/>
  <c r="R75" i="22"/>
  <c r="Z70" i="51" s="1"/>
  <c r="S79" i="22"/>
  <c r="Q79" i="22"/>
  <c r="R79" i="22"/>
  <c r="Z74" i="51" s="1"/>
</calcChain>
</file>

<file path=xl/comments1.xml><?xml version="1.0" encoding="utf-8"?>
<comments xmlns="http://schemas.openxmlformats.org/spreadsheetml/2006/main">
  <authors>
    <author>samsung</author>
  </authors>
  <commentList>
    <comment ref="G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도메인 코드의 </t>
        </r>
        <r>
          <rPr>
            <b/>
            <sz val="9"/>
            <color indexed="81"/>
            <rFont val="Tahoma"/>
            <family val="2"/>
          </rPr>
          <t xml:space="preserve">Main 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TA </t>
        </r>
        <r>
          <rPr>
            <b/>
            <sz val="9"/>
            <color indexed="81"/>
            <rFont val="돋움"/>
            <family val="3"/>
            <charset val="129"/>
          </rPr>
          <t>코드로 할당하고 시퀀스는 TO-BE L2 순서로 1개씩 증가시킴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 xml:space="preserve">Sub </t>
        </r>
        <r>
          <rPr>
            <b/>
            <sz val="9"/>
            <color indexed="81"/>
            <rFont val="돋움"/>
            <family val="3"/>
            <charset val="129"/>
          </rPr>
          <t>도메인 코드는 L2 또는 L3 코드를 또는 솔루션 구분을 위한 코드로 할당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samsung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</rPr>
          <t>Domain</t>
        </r>
        <r>
          <rPr>
            <b/>
            <sz val="9"/>
            <color indexed="81"/>
            <rFont val="돋움"/>
            <family val="3"/>
            <charset val="129"/>
          </rPr>
          <t>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코드 체계에 따른 코드 할당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9"/>
            <color indexed="81"/>
            <rFont val="돋움"/>
            <family val="3"/>
            <charset val="129"/>
          </rPr>
          <t>개발 서버 Front 인스턴스는 2개 구성</t>
        </r>
      </text>
    </comment>
  </commentList>
</comments>
</file>

<file path=xl/comments3.xml><?xml version="1.0" encoding="utf-8"?>
<comments xmlns="http://schemas.openxmlformats.org/spreadsheetml/2006/main">
  <authors>
    <author>samsung</author>
  </authors>
  <commentList>
    <comment ref="AG5" authorId="0" shapeId="0">
      <text>
        <r>
          <rPr>
            <b/>
            <sz val="9"/>
            <color indexed="81"/>
            <rFont val="돋움"/>
            <family val="3"/>
            <charset val="129"/>
          </rPr>
          <t>운영 : 운영시Dynatrace 구성
통테 : 오픈전 통합테스트까지 Dynatrace 임시 라이선스 구성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" authorId="0" shapeId="0">
      <text>
        <r>
          <rPr>
            <b/>
            <sz val="9"/>
            <color indexed="81"/>
            <rFont val="돋움"/>
            <family val="3"/>
            <charset val="129"/>
          </rPr>
          <t>도메인 : 도메인별 통합 Document Root 구성
인스턴스 : 인스턴스별 별도 Document Root 구성</t>
        </r>
      </text>
    </comment>
  </commentList>
</comments>
</file>

<file path=xl/comments4.xml><?xml version="1.0" encoding="utf-8"?>
<comments xmlns="http://schemas.openxmlformats.org/spreadsheetml/2006/main">
  <authors>
    <author>samsung</author>
  </authors>
  <commentList>
    <comment ref="S6" authorId="0" shapeId="0">
      <text>
        <r>
          <rPr>
            <b/>
            <sz val="9"/>
            <color indexed="81"/>
            <rFont val="돋움"/>
            <family val="3"/>
            <charset val="129"/>
          </rPr>
          <t>도메인 : 도메인별 통합 Document Root 구성
인스턴스 : 인스턴스별 별도 Document Root 구성</t>
        </r>
      </text>
    </comment>
  </commentList>
</comments>
</file>

<file path=xl/sharedStrings.xml><?xml version="1.0" encoding="utf-8"?>
<sst xmlns="http://schemas.openxmlformats.org/spreadsheetml/2006/main" count="2592" uniqueCount="714">
  <si>
    <t>구분</t>
    <phoneticPr fontId="0" type="Hiragana"/>
  </si>
  <si>
    <t>O</t>
    <phoneticPr fontId="0" type="Hiragana"/>
  </si>
  <si>
    <t>온라인</t>
    <phoneticPr fontId="0" type="Hiragana"/>
  </si>
  <si>
    <t>A</t>
    <phoneticPr fontId="0" type="Hiragana"/>
  </si>
  <si>
    <t>시스템
코드</t>
    <phoneticPr fontId="0" type="Hiragana"/>
  </si>
  <si>
    <t>O</t>
  </si>
  <si>
    <t>서버명</t>
    <phoneticPr fontId="0" type="Hiragana"/>
  </si>
  <si>
    <t>구분</t>
    <phoneticPr fontId="0" type="Hiragana"/>
  </si>
  <si>
    <t>도메인</t>
    <phoneticPr fontId="0" type="Hiragana"/>
  </si>
  <si>
    <t>비고</t>
    <phoneticPr fontId="0" type="Hiragana"/>
  </si>
  <si>
    <t>Node</t>
    <phoneticPr fontId="0" type="Hiragana"/>
  </si>
  <si>
    <t>Inst</t>
    <phoneticPr fontId="0" type="Hiragana"/>
  </si>
  <si>
    <t>p</t>
    <phoneticPr fontId="0" type="Hiragana"/>
  </si>
  <si>
    <t>S</t>
    <phoneticPr fontId="0" type="Hiragana"/>
  </si>
  <si>
    <t>구분</t>
    <phoneticPr fontId="2" type="noConversion"/>
  </si>
  <si>
    <t>시스템
코드</t>
    <phoneticPr fontId="2" type="noConversion"/>
  </si>
  <si>
    <t>노드</t>
    <phoneticPr fontId="2" type="noConversion"/>
  </si>
  <si>
    <t>운영(P)</t>
    <phoneticPr fontId="0" type="Hiragana"/>
  </si>
  <si>
    <t>개발(T)</t>
    <phoneticPr fontId="0" type="Hiragana"/>
  </si>
  <si>
    <t>검증(V)</t>
    <phoneticPr fontId="0" type="Hiragana"/>
  </si>
  <si>
    <t>DR(D)</t>
    <phoneticPr fontId="0" type="Hiragana"/>
  </si>
  <si>
    <t>코드</t>
    <phoneticPr fontId="0" type="Hiragana"/>
  </si>
  <si>
    <t>내용</t>
    <phoneticPr fontId="0" type="Hiragana"/>
  </si>
  <si>
    <t>p</t>
    <phoneticPr fontId="0" type="Hiragana"/>
  </si>
  <si>
    <t>O</t>
    <phoneticPr fontId="0" type="Hiragana"/>
  </si>
  <si>
    <t>Front 업무</t>
    <phoneticPr fontId="0" type="Hiragana"/>
  </si>
  <si>
    <t>F</t>
    <phoneticPr fontId="0" type="Hiragana"/>
  </si>
  <si>
    <t>Instance 용도</t>
    <phoneticPr fontId="0" type="Hiragana"/>
  </si>
  <si>
    <t>구분</t>
    <phoneticPr fontId="0" type="Hiragana"/>
  </si>
  <si>
    <t>설명</t>
    <phoneticPr fontId="0" type="Hiragana"/>
  </si>
  <si>
    <t>Heap 최소 사이즈</t>
  </si>
  <si>
    <t>Print more details at garbage collection
→ verbose:gc의 로그에 new 영역에 대한 크기 정보와 좀더 정확한 시간정보를 보여줌</t>
  </si>
  <si>
    <t>도메인 성격</t>
    <phoneticPr fontId="0" type="Hiragana"/>
  </si>
  <si>
    <t>WAS</t>
    <phoneticPr fontId="0" type="Hiragana"/>
  </si>
  <si>
    <t>시스템</t>
    <phoneticPr fontId="0" type="Hiragana"/>
  </si>
  <si>
    <t>순번</t>
    <phoneticPr fontId="0" type="Hiragana"/>
  </si>
  <si>
    <t>최종
Port</t>
    <phoneticPr fontId="0" type="Hiragana"/>
  </si>
  <si>
    <t>Port 분류</t>
    <phoneticPr fontId="0" type="Hiragana"/>
  </si>
  <si>
    <t>도메인명</t>
    <phoneticPr fontId="0" type="Hiragana"/>
  </si>
  <si>
    <t>-</t>
    <phoneticPr fontId="2" type="noConversion"/>
  </si>
  <si>
    <t>t</t>
  </si>
  <si>
    <t>Heap 메모리
설정</t>
    <phoneticPr fontId="0" type="Hiragana"/>
  </si>
  <si>
    <t>JVM
파라미터</t>
    <phoneticPr fontId="0" type="Hiragana"/>
  </si>
  <si>
    <t>도메인</t>
    <phoneticPr fontId="0" type="Hiragana"/>
  </si>
  <si>
    <t>NO</t>
    <phoneticPr fontId="2" type="noConversion"/>
  </si>
  <si>
    <t>비고</t>
    <phoneticPr fontId="0" type="Hiragana"/>
  </si>
  <si>
    <t>디지털채널
소분류체계</t>
    <phoneticPr fontId="0" type="Hiragana"/>
  </si>
  <si>
    <t>도메인
코드</t>
    <phoneticPr fontId="0" type="Hiragana"/>
  </si>
  <si>
    <t>-</t>
    <phoneticPr fontId="2" type="noConversion"/>
  </si>
  <si>
    <t>24</t>
  </si>
  <si>
    <t>Port
구분</t>
    <phoneticPr fontId="0" type="Hiragana"/>
  </si>
  <si>
    <t>※ 원본은 1. 미들웨어 도메인 코드 체계.xlsx 파일 참조</t>
    <phoneticPr fontId="2" type="noConversion"/>
  </si>
  <si>
    <t>WAS 도메인</t>
    <phoneticPr fontId="0" type="Hiragana"/>
  </si>
  <si>
    <t>Parameter</t>
    <phoneticPr fontId="0" type="Hiragana"/>
  </si>
  <si>
    <t>시스템
코드</t>
    <phoneticPr fontId="2" type="noConversion"/>
  </si>
  <si>
    <t>디렉토리</t>
    <phoneticPr fontId="2" type="noConversion"/>
  </si>
  <si>
    <t>도메인</t>
    <phoneticPr fontId="2" type="noConversion"/>
  </si>
  <si>
    <t>구분</t>
    <phoneticPr fontId="2" type="noConversion"/>
  </si>
  <si>
    <t>노드</t>
    <phoneticPr fontId="2" type="noConversion"/>
  </si>
  <si>
    <t>서버명</t>
    <phoneticPr fontId="2" type="noConversion"/>
  </si>
  <si>
    <t>호스트명</t>
    <phoneticPr fontId="2" type="noConversion"/>
  </si>
  <si>
    <t>인스턴스</t>
    <phoneticPr fontId="2" type="noConversion"/>
  </si>
  <si>
    <t>Memory</t>
    <phoneticPr fontId="2" type="noConversion"/>
  </si>
  <si>
    <t>비고</t>
    <phoneticPr fontId="2" type="noConversion"/>
  </si>
  <si>
    <t>도메인</t>
    <phoneticPr fontId="2" type="noConversion"/>
  </si>
  <si>
    <t>코드</t>
    <phoneticPr fontId="2" type="noConversion"/>
  </si>
  <si>
    <t>용도</t>
    <phoneticPr fontId="2" type="noConversion"/>
  </si>
  <si>
    <t>도메인명</t>
    <phoneticPr fontId="2" type="noConversion"/>
  </si>
  <si>
    <t>SEQ</t>
    <phoneticPr fontId="2" type="noConversion"/>
  </si>
  <si>
    <t>인스턴스명</t>
    <phoneticPr fontId="2" type="noConversion"/>
  </si>
  <si>
    <t>서비스 내용</t>
    <phoneticPr fontId="2" type="noConversion"/>
  </si>
  <si>
    <t>Admin Instance</t>
    <phoneticPr fontId="2" type="noConversion"/>
  </si>
  <si>
    <t>Document Root</t>
    <phoneticPr fontId="2" type="noConversion"/>
  </si>
  <si>
    <t>로그 홈</t>
    <phoneticPr fontId="2" type="noConversion"/>
  </si>
  <si>
    <t>Xms, Xmx</t>
    <phoneticPr fontId="2" type="noConversion"/>
  </si>
  <si>
    <t>NewSize</t>
    <phoneticPr fontId="2" type="noConversion"/>
  </si>
  <si>
    <t>MaxNewSize</t>
    <phoneticPr fontId="2" type="noConversion"/>
  </si>
  <si>
    <t>PermSize</t>
    <phoneticPr fontId="2" type="noConversion"/>
  </si>
  <si>
    <t>MaxPermSize</t>
    <phoneticPr fontId="2" type="noConversion"/>
  </si>
  <si>
    <t>용도</t>
    <phoneticPr fontId="0" type="Hiragana"/>
  </si>
  <si>
    <t>도메인</t>
  </si>
  <si>
    <t>도메인</t>
    <phoneticPr fontId="2" type="noConversion"/>
  </si>
  <si>
    <t>APM 구성</t>
    <phoneticPr fontId="2" type="noConversion"/>
  </si>
  <si>
    <t>콜렉터</t>
    <phoneticPr fontId="2" type="noConversion"/>
  </si>
  <si>
    <t>도메인(IP)</t>
    <phoneticPr fontId="2" type="noConversion"/>
  </si>
  <si>
    <t>Port</t>
    <phoneticPr fontId="2" type="noConversion"/>
  </si>
  <si>
    <t>운영</t>
  </si>
  <si>
    <t>cl13.p.apm.samsungcard.biz (40.226.150.235)</t>
    <phoneticPr fontId="2" type="noConversion"/>
  </si>
  <si>
    <t>F</t>
  </si>
  <si>
    <t>※ DR은 운영 스토리지 복제로 인스턴스명 등 구성은 동일함</t>
    <phoneticPr fontId="2" type="noConversion"/>
  </si>
  <si>
    <r>
      <rPr>
        <sz val="11"/>
        <color theme="1"/>
        <rFont val="맑은 고딕"/>
        <family val="3"/>
        <charset val="129"/>
      </rPr>
      <t>※ MSP</t>
    </r>
    <r>
      <rPr>
        <sz val="11"/>
        <color theme="1"/>
        <rFont val="맑은 고딕"/>
        <family val="3"/>
        <charset val="129"/>
        <scheme val="minor"/>
      </rPr>
      <t>, 구청구서 시스템은 단순이전 시스템으로 기존 AS-IS 인스턴스 규칙으로 구성함 (단순이전 Sheet 참조)</t>
    </r>
    <phoneticPr fontId="2" type="noConversion"/>
  </si>
  <si>
    <t>스마트워크플레이스</t>
    <phoneticPr fontId="0" type="Hiragana"/>
  </si>
  <si>
    <t>/fbpt/webroot/ezwel-welfare-user/webapp</t>
    <phoneticPr fontId="2" type="noConversion"/>
  </si>
  <si>
    <t>/log/was/weblog11/userDom/userSvr21</t>
    <phoneticPr fontId="2" type="noConversion"/>
  </si>
  <si>
    <t>/log/was/weblog11/userDom/userSvr22</t>
    <phoneticPr fontId="2" type="noConversion"/>
  </si>
  <si>
    <t>/fbpt/webroot/ezwel-welfare-cadm/webapp</t>
    <phoneticPr fontId="2" type="noConversion"/>
  </si>
  <si>
    <t>/log/was/weblog11/cadmDom/cadmSvr2</t>
    <phoneticPr fontId="2" type="noConversion"/>
  </si>
  <si>
    <t>/fbpt/webroot/ezwel-welfare-muser/webapp</t>
    <phoneticPr fontId="2" type="noConversion"/>
  </si>
  <si>
    <t xml:space="preserve"> /log/was/weblog11/muserDom/muserSvr21</t>
    <phoneticPr fontId="2" type="noConversion"/>
  </si>
  <si>
    <t>/fbpt/webroot/eHR-DTM/pdssdtm2/PDSS40</t>
    <phoneticPr fontId="2" type="noConversion"/>
  </si>
  <si>
    <t>/log/was/weblog10/dtmDom</t>
    <phoneticPr fontId="2" type="noConversion"/>
  </si>
  <si>
    <t>/fbpt/webroot/ezwel-welfare-admin/webapp</t>
    <phoneticPr fontId="2" type="noConversion"/>
  </si>
  <si>
    <t>/log/was/weblog11/adminDom/adminSvr2</t>
    <phoneticPr fontId="2" type="noConversion"/>
  </si>
  <si>
    <t>userDom</t>
    <phoneticPr fontId="2" type="noConversion"/>
  </si>
  <si>
    <t>userSvr21</t>
    <phoneticPr fontId="2" type="noConversion"/>
  </si>
  <si>
    <t>userSvr22</t>
    <phoneticPr fontId="2" type="noConversion"/>
  </si>
  <si>
    <t>cadmDom</t>
    <phoneticPr fontId="2" type="noConversion"/>
  </si>
  <si>
    <t>cadmSvr2</t>
    <phoneticPr fontId="2" type="noConversion"/>
  </si>
  <si>
    <t>muserSvr21</t>
    <phoneticPr fontId="2" type="noConversion"/>
  </si>
  <si>
    <t>dtmSvr</t>
    <phoneticPr fontId="2" type="noConversion"/>
  </si>
  <si>
    <t>adminDom</t>
    <phoneticPr fontId="2" type="noConversion"/>
  </si>
  <si>
    <t>adminSvr2</t>
    <phoneticPr fontId="2" type="noConversion"/>
  </si>
  <si>
    <t>e-Markplace</t>
    <phoneticPr fontId="2" type="noConversion"/>
  </si>
  <si>
    <t>eMarketUsr1</t>
    <phoneticPr fontId="2" type="noConversion"/>
  </si>
  <si>
    <t>eMarketUsr2</t>
    <phoneticPr fontId="2" type="noConversion"/>
  </si>
  <si>
    <t>/data2/scfranDom/applications/eMarketWebApp</t>
    <phoneticPr fontId="2" type="noConversion"/>
  </si>
  <si>
    <t>/log/WAS_APPLOG/SCFRAN</t>
    <phoneticPr fontId="2" type="noConversion"/>
  </si>
  <si>
    <t>bimDom</t>
    <phoneticPr fontId="2" type="noConversion"/>
  </si>
  <si>
    <t>bimUsr1</t>
    <phoneticPr fontId="2" type="noConversion"/>
  </si>
  <si>
    <t>/bim/wasApps</t>
    <phoneticPr fontId="2" type="noConversion"/>
  </si>
  <si>
    <t>/log/was/weblogic11/bimDom</t>
    <phoneticPr fontId="2" type="noConversion"/>
  </si>
  <si>
    <t>chongmuDom</t>
    <phoneticPr fontId="2" type="noConversion"/>
  </si>
  <si>
    <t>chongmuUsr1</t>
    <phoneticPr fontId="2" type="noConversion"/>
  </si>
  <si>
    <t>chongmuUsr2</t>
    <phoneticPr fontId="2" type="noConversion"/>
  </si>
  <si>
    <t>chongmuMgr</t>
    <phoneticPr fontId="2" type="noConversion"/>
  </si>
  <si>
    <t>/chongmu/ChongMuEAR-SNAPSHOT</t>
    <phoneticPr fontId="2" type="noConversion"/>
  </si>
  <si>
    <t>/log/chongmu/weblog10</t>
    <phoneticPr fontId="2" type="noConversion"/>
  </si>
  <si>
    <t>idesignDom</t>
    <phoneticPr fontId="2" type="noConversion"/>
  </si>
  <si>
    <t>idesignUsr1</t>
    <phoneticPr fontId="2" type="noConversion"/>
  </si>
  <si>
    <t>/design/wasApps</t>
    <phoneticPr fontId="2" type="noConversion"/>
  </si>
  <si>
    <t>/design/wasApps</t>
    <phoneticPr fontId="2" type="noConversion"/>
  </si>
  <si>
    <t>/log/idesign/weblog10</t>
    <phoneticPr fontId="2" type="noConversion"/>
  </si>
  <si>
    <t>/log/idesign/weblog10</t>
    <phoneticPr fontId="2" type="noConversion"/>
  </si>
  <si>
    <t>bimUsr2</t>
    <phoneticPr fontId="2" type="noConversion"/>
  </si>
  <si>
    <t>idesignUsr2</t>
    <phoneticPr fontId="2" type="noConversion"/>
  </si>
  <si>
    <t>sswpDom</t>
    <phoneticPr fontId="2" type="noConversion"/>
  </si>
  <si>
    <t>sswpUsr1</t>
    <phoneticPr fontId="2" type="noConversion"/>
  </si>
  <si>
    <t>sswpadmDom</t>
    <phoneticPr fontId="2" type="noConversion"/>
  </si>
  <si>
    <t>sswpAdmUsr1</t>
    <phoneticPr fontId="2" type="noConversion"/>
  </si>
  <si>
    <t>sswpmdmDom</t>
    <phoneticPr fontId="2" type="noConversion"/>
  </si>
  <si>
    <t>sswpMdmUsr1</t>
    <phoneticPr fontId="2" type="noConversion"/>
  </si>
  <si>
    <t>/sphonesw/sswp/wasApps</t>
    <phoneticPr fontId="2" type="noConversion"/>
  </si>
  <si>
    <t>/log/was/weblog10/sswpDom</t>
    <phoneticPr fontId="2" type="noConversion"/>
  </si>
  <si>
    <t>/sphonesw/sswpadm/wasApps</t>
    <phoneticPr fontId="2" type="noConversion"/>
  </si>
  <si>
    <t>/log/was/weblog10/sswpadmDom</t>
    <phoneticPr fontId="2" type="noConversion"/>
  </si>
  <si>
    <t>/sphonesw/sswpmdm/wasApps</t>
    <phoneticPr fontId="2" type="noConversion"/>
  </si>
  <si>
    <t>/log/was/weblog10/sswpmdmDom</t>
    <phoneticPr fontId="2" type="noConversion"/>
  </si>
  <si>
    <t>mallDom</t>
    <phoneticPr fontId="2" type="noConversion"/>
  </si>
  <si>
    <t>martUsr1</t>
    <phoneticPr fontId="2" type="noConversion"/>
  </si>
  <si>
    <t>martUsr2</t>
    <phoneticPr fontId="2" type="noConversion"/>
  </si>
  <si>
    <t>mallMgr</t>
    <phoneticPr fontId="2" type="noConversion"/>
  </si>
  <si>
    <t>/data2/mallDom/applications/martUsrWebApp</t>
    <phoneticPr fontId="2" type="noConversion"/>
  </si>
  <si>
    <t>/log/WAS_APPLOG/CARDMALL</t>
    <phoneticPr fontId="2" type="noConversion"/>
  </si>
  <si>
    <t>/data2/mallDom/applications/mallMgrWebApp</t>
    <phoneticPr fontId="2" type="noConversion"/>
  </si>
  <si>
    <t>scepsMgr1</t>
    <phoneticPr fontId="2" type="noConversion"/>
  </si>
  <si>
    <t>scepsUsr1</t>
    <phoneticPr fontId="2" type="noConversion"/>
  </si>
  <si>
    <t>/data2/sceps/wasAdminApp</t>
    <phoneticPr fontId="2" type="noConversion"/>
  </si>
  <si>
    <t>/log/was/weblogic10/scepsDom</t>
    <phoneticPr fontId="2" type="noConversion"/>
  </si>
  <si>
    <t>/data2/sceps/wasApp</t>
    <phoneticPr fontId="2" type="noConversion"/>
  </si>
  <si>
    <t>vmsDomain</t>
    <phoneticPr fontId="2" type="noConversion"/>
  </si>
  <si>
    <t>vms1</t>
    <phoneticPr fontId="2" type="noConversion"/>
  </si>
  <si>
    <t>/ONLINE/vms/vmsDomain/applications</t>
    <phoneticPr fontId="2" type="noConversion"/>
  </si>
  <si>
    <t>/log/was/weblog10/vms/vmsDomain</t>
    <phoneticPr fontId="2" type="noConversion"/>
  </si>
  <si>
    <t>container1</t>
    <phoneticPr fontId="2" type="noConversion"/>
  </si>
  <si>
    <t>/labor/wasApps</t>
    <phoneticPr fontId="2" type="noConversion"/>
  </si>
  <si>
    <t>/log/labor/jeus/intap02/intap02_container1</t>
    <phoneticPr fontId="2" type="noConversion"/>
  </si>
  <si>
    <t>index</t>
    <phoneticPr fontId="2" type="noConversion"/>
  </si>
  <si>
    <t>01</t>
    <phoneticPr fontId="2" type="noConversion"/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</si>
  <si>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</si>
  <si>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</si>
  <si>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</si>
  <si>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</si>
  <si>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</si>
  <si>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</si>
  <si>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</si>
  <si>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</si>
  <si>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</si>
  <si>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</si>
  <si>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</si>
  <si>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</si>
  <si>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</si>
  <si>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</si>
  <si>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</si>
  <si>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</si>
  <si>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</si>
  <si>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</si>
  <si>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</si>
  <si>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</si>
  <si>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</si>
  <si>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</si>
  <si>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</si>
  <si>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총무지원</t>
    <phoneticPr fontId="2" type="noConversion"/>
  </si>
  <si>
    <t>브랜드관리-외주</t>
    <phoneticPr fontId="2" type="noConversion"/>
  </si>
  <si>
    <t>스마트워크플레이스</t>
    <phoneticPr fontId="2" type="noConversion"/>
  </si>
  <si>
    <t>법인구매</t>
    <phoneticPr fontId="2" type="noConversion"/>
  </si>
  <si>
    <t>VOC관리</t>
    <phoneticPr fontId="2" type="noConversion"/>
  </si>
  <si>
    <t>하나로협의회</t>
    <phoneticPr fontId="2" type="noConversion"/>
  </si>
  <si>
    <t xml:space="preserve"> 선택적복지 AP #1 /  선택적복지 AP #1</t>
    <phoneticPr fontId="2" type="noConversion"/>
  </si>
  <si>
    <t xml:space="preserve"> 통합인트라넷 AP #2  /  인트라넷 AP #2</t>
    <phoneticPr fontId="2" type="noConversion"/>
  </si>
  <si>
    <t>vmsal01</t>
    <phoneticPr fontId="2" type="noConversion"/>
  </si>
  <si>
    <t xml:space="preserve">intap01/02 /   </t>
    <phoneticPr fontId="2" type="noConversion"/>
  </si>
  <si>
    <t>fbap01 / psfbap01_02</t>
    <phoneticPr fontId="2" type="noConversion"/>
  </si>
  <si>
    <t>mallap3 /  picoap01_02</t>
    <phoneticPr fontId="2" type="noConversion"/>
  </si>
  <si>
    <t>mallap5 /  picoap01_02</t>
    <phoneticPr fontId="2" type="noConversion"/>
  </si>
  <si>
    <t xml:space="preserve"> 홈페이지 외 AP #3 / 인터넷공통 AP #1_2</t>
    <phoneticPr fontId="2" type="noConversion"/>
  </si>
  <si>
    <t>선복</t>
    <phoneticPr fontId="2" type="noConversion"/>
  </si>
  <si>
    <t xml:space="preserve"> 홈페이지 외 AP #1 / 인터넷공통 AP #1</t>
    <phoneticPr fontId="2" type="noConversion"/>
  </si>
  <si>
    <t>muserDom</t>
    <phoneticPr fontId="2" type="noConversion"/>
  </si>
  <si>
    <t>dtmDom</t>
    <phoneticPr fontId="2" type="noConversion"/>
  </si>
  <si>
    <t>scfranDom</t>
    <phoneticPr fontId="2" type="noConversion"/>
  </si>
  <si>
    <t>임직원 알뜰시장</t>
    <phoneticPr fontId="2" type="noConversion"/>
  </si>
  <si>
    <t>scepsDom</t>
    <phoneticPr fontId="2" type="noConversion"/>
  </si>
  <si>
    <t>모바일 경영Dashboard</t>
    <phoneticPr fontId="2" type="noConversion"/>
  </si>
  <si>
    <t xml:space="preserve"> 고객의 소리</t>
    <phoneticPr fontId="2" type="noConversion"/>
  </si>
  <si>
    <t>labor</t>
    <phoneticPr fontId="2" type="noConversion"/>
  </si>
  <si>
    <t>선택적복리후생</t>
    <phoneticPr fontId="2" type="noConversion"/>
  </si>
  <si>
    <t>L3</t>
    <phoneticPr fontId="0" type="Hiragana"/>
  </si>
  <si>
    <t>userDom 2</t>
    <phoneticPr fontId="0" type="Hiragana"/>
  </si>
  <si>
    <t>선택적복지</t>
    <phoneticPr fontId="0" type="Hiragana"/>
  </si>
  <si>
    <t>인스턴스 여유분</t>
    <phoneticPr fontId="0" type="Hiragana"/>
  </si>
  <si>
    <t>분류</t>
    <phoneticPr fontId="2" type="noConversion"/>
  </si>
  <si>
    <t>적용코드</t>
    <phoneticPr fontId="2" type="noConversion"/>
  </si>
  <si>
    <t>BE1</t>
  </si>
  <si>
    <t>SP1</t>
    <phoneticPr fontId="0" type="Hiragana"/>
  </si>
  <si>
    <t>23~24</t>
    <phoneticPr fontId="0" type="Hiragana"/>
  </si>
  <si>
    <t>BIM</t>
    <phoneticPr fontId="2" type="noConversion"/>
  </si>
  <si>
    <t>27~28</t>
    <phoneticPr fontId="0" type="Hiragana"/>
  </si>
  <si>
    <t>GE2</t>
    <phoneticPr fontId="2" type="noConversion"/>
  </si>
  <si>
    <t>32~35</t>
    <phoneticPr fontId="0" type="Hiragana"/>
  </si>
  <si>
    <t>MS7</t>
    <phoneticPr fontId="2" type="noConversion"/>
  </si>
  <si>
    <t>38~40</t>
    <phoneticPr fontId="0" type="Hiragana"/>
  </si>
  <si>
    <t>WO1</t>
    <phoneticPr fontId="2" type="noConversion"/>
  </si>
  <si>
    <t>44~45</t>
    <phoneticPr fontId="0" type="Hiragana"/>
  </si>
  <si>
    <t>PS9</t>
    <phoneticPr fontId="2" type="noConversion"/>
  </si>
  <si>
    <t>47~48</t>
    <phoneticPr fontId="0" type="Hiragana"/>
  </si>
  <si>
    <t>13~15</t>
    <phoneticPr fontId="0" type="Hiragana"/>
  </si>
  <si>
    <t>PQ1</t>
    <phoneticPr fontId="0" type="Hiragana"/>
  </si>
  <si>
    <t>19~20</t>
    <phoneticPr fontId="0" type="Hiragana"/>
  </si>
  <si>
    <t>e-Markplace</t>
    <phoneticPr fontId="0" type="Hiragana"/>
  </si>
  <si>
    <t>인터넷공통</t>
    <phoneticPr fontId="0" type="Hiragana"/>
  </si>
  <si>
    <t>임직원 알뜰시장</t>
    <phoneticPr fontId="0" type="Hiragana"/>
  </si>
  <si>
    <t>법인구매</t>
    <phoneticPr fontId="0" type="Hiragana"/>
  </si>
  <si>
    <t>모바일 경영Dashboard</t>
    <phoneticPr fontId="0" type="Hiragana"/>
  </si>
  <si>
    <t>총무지원</t>
    <phoneticPr fontId="0" type="Hiragana"/>
  </si>
  <si>
    <t>스마트워크플레이스 #1</t>
    <phoneticPr fontId="0" type="Hiragana"/>
  </si>
  <si>
    <t>스마트워크플레이스 #2</t>
    <phoneticPr fontId="0" type="Hiragana"/>
  </si>
  <si>
    <t>스마트워크플레이스 #3</t>
    <phoneticPr fontId="0" type="Hiragana"/>
  </si>
  <si>
    <t>하나로협의회</t>
    <phoneticPr fontId="0" type="Hiragana"/>
  </si>
  <si>
    <t>muserDom</t>
    <phoneticPr fontId="0" type="Hiragana"/>
  </si>
  <si>
    <t>adminDom</t>
    <phoneticPr fontId="0" type="Hiragana"/>
  </si>
  <si>
    <t>scfranDom 2</t>
    <phoneticPr fontId="0" type="Hiragana"/>
  </si>
  <si>
    <t>mallDom 3</t>
    <phoneticPr fontId="0" type="Hiragana"/>
  </si>
  <si>
    <t>scepsDom 2</t>
    <phoneticPr fontId="0" type="Hiragana"/>
  </si>
  <si>
    <t>bimDom 2</t>
    <phoneticPr fontId="0" type="Hiragana"/>
  </si>
  <si>
    <t>chongmuDom 3</t>
    <phoneticPr fontId="0" type="Hiragana"/>
  </si>
  <si>
    <t>idesignDom 2</t>
    <phoneticPr fontId="0" type="Hiragana"/>
  </si>
  <si>
    <t>sswpDom</t>
    <phoneticPr fontId="2" type="noConversion"/>
  </si>
  <si>
    <t>sswpadmDom</t>
    <phoneticPr fontId="2" type="noConversion"/>
  </si>
  <si>
    <t>sswpmdmDom</t>
    <phoneticPr fontId="2" type="noConversion"/>
  </si>
  <si>
    <t>labor ( jeus )</t>
    <phoneticPr fontId="0" type="Hiragana"/>
  </si>
  <si>
    <t>vmsDomain</t>
    <phoneticPr fontId="0" type="Hiragana"/>
  </si>
  <si>
    <t xml:space="preserve"> 인트라넷 AP #2
pintap02</t>
    <phoneticPr fontId="0" type="Hiragana"/>
  </si>
  <si>
    <t xml:space="preserve"> 인트라넷</t>
    <phoneticPr fontId="0" type="Hiragana"/>
  </si>
  <si>
    <t xml:space="preserve"> 인트라넷 AP #1
pintap01</t>
    <phoneticPr fontId="0" type="Hiragana"/>
  </si>
  <si>
    <t>e-Markplace</t>
  </si>
  <si>
    <t>임직원 알뜰시장</t>
  </si>
  <si>
    <t>법인구매</t>
  </si>
  <si>
    <t>모바일 경영Dashboard</t>
  </si>
  <si>
    <t>총무지원</t>
  </si>
  <si>
    <t>브랜드관리-외주</t>
  </si>
  <si>
    <t>스마트워크플레이스 #1</t>
  </si>
  <si>
    <t>스마트워크플레이스 #2</t>
  </si>
  <si>
    <t>스마트워크플레이스 #3</t>
  </si>
  <si>
    <t>선택적복지 AP</t>
  </si>
  <si>
    <t>인터넷공통 AP #1/2
picoap01/02</t>
    <phoneticPr fontId="0" type="Hiragana"/>
  </si>
  <si>
    <t>인터넷공통 AP</t>
  </si>
  <si>
    <t>O</t>
    <phoneticPr fontId="0" type="Hiragana"/>
  </si>
  <si>
    <t>도메인 구성</t>
    <phoneticPr fontId="2" type="noConversion"/>
  </si>
  <si>
    <t>선택적복지 AP #1</t>
    <phoneticPr fontId="0" type="Hiragana"/>
  </si>
  <si>
    <t>고객서비스 ?? Instance #2</t>
    <phoneticPr fontId="2" type="noConversion"/>
  </si>
  <si>
    <t>cadmDom</t>
    <phoneticPr fontId="0" type="Hiragana"/>
  </si>
  <si>
    <t>카드서비스 ?? Instance #1</t>
    <phoneticPr fontId="2" type="noConversion"/>
  </si>
  <si>
    <t>모바일고객서비스 ?? Instance #1</t>
    <phoneticPr fontId="2" type="noConversion"/>
  </si>
  <si>
    <t>관리자서비스 ?? Instance #1</t>
    <phoneticPr fontId="2" type="noConversion"/>
  </si>
  <si>
    <t>e-Markplace</t>
    <phoneticPr fontId="2" type="noConversion"/>
  </si>
  <si>
    <t>인터넷공통 AP #1</t>
    <phoneticPr fontId="0" type="Hiragana"/>
  </si>
  <si>
    <t>선택적복지 AP #2</t>
    <phoneticPr fontId="0" type="Hiragana"/>
  </si>
  <si>
    <t>GE2</t>
    <phoneticPr fontId="2" type="noConversion"/>
  </si>
  <si>
    <t>임직원 알뜰시장</t>
    <phoneticPr fontId="2" type="noConversion"/>
  </si>
  <si>
    <t>법인구매</t>
    <phoneticPr fontId="2" type="noConversion"/>
  </si>
  <si>
    <t>스마트워크플레이스 #2</t>
    <phoneticPr fontId="2" type="noConversion"/>
  </si>
  <si>
    <t>스마트워크플레이스 #3</t>
    <phoneticPr fontId="2" type="noConversion"/>
  </si>
  <si>
    <t>e-Markplace Instance #2</t>
    <phoneticPr fontId="2" type="noConversion"/>
  </si>
  <si>
    <t>e-Markplace Instance #1</t>
    <phoneticPr fontId="2" type="noConversion"/>
  </si>
  <si>
    <t>임직원 알뜰시장</t>
    <phoneticPr fontId="2" type="noConversion"/>
  </si>
  <si>
    <t>임직원 알뜰시장 Instance #1</t>
    <phoneticPr fontId="2" type="noConversion"/>
  </si>
  <si>
    <t>임직원 알뜰시장 Instance #2</t>
    <phoneticPr fontId="2" type="noConversion"/>
  </si>
  <si>
    <t>모바일 경영Dashboard</t>
    <phoneticPr fontId="2" type="noConversion"/>
  </si>
  <si>
    <t>모바일 경영Dashboard Instance #1</t>
    <phoneticPr fontId="2" type="noConversion"/>
  </si>
  <si>
    <t>모바일 경영Dashboard Instance #2</t>
    <phoneticPr fontId="2" type="noConversion"/>
  </si>
  <si>
    <t>총무지원 Instance #1</t>
    <phoneticPr fontId="2" type="noConversion"/>
  </si>
  <si>
    <t>총무지원 Instance #2</t>
    <phoneticPr fontId="2" type="noConversion"/>
  </si>
  <si>
    <t>브랜드관리-외주 Instance #1</t>
    <phoneticPr fontId="2" type="noConversion"/>
  </si>
  <si>
    <t>브랜드관리-외주 Instance #2</t>
    <phoneticPr fontId="2" type="noConversion"/>
  </si>
  <si>
    <t>스마트워크플레이스 #1</t>
    <phoneticPr fontId="2" type="noConversion"/>
  </si>
  <si>
    <t>스마트워크플레이스 #1 Instance #1</t>
    <phoneticPr fontId="2" type="noConversion"/>
  </si>
  <si>
    <t>스마트워크플레이스 #2 Instance #1</t>
    <phoneticPr fontId="2" type="noConversion"/>
  </si>
  <si>
    <t>스마트워크플레이스 #3 Instance #1</t>
    <phoneticPr fontId="2" type="noConversion"/>
  </si>
  <si>
    <t>S</t>
    <phoneticPr fontId="2" type="noConversion"/>
  </si>
  <si>
    <t>하나로협의회 Instance #1</t>
    <phoneticPr fontId="2" type="noConversion"/>
  </si>
  <si>
    <t>하나로협의회</t>
    <phoneticPr fontId="0" type="Hiragana"/>
  </si>
  <si>
    <t>PS9</t>
    <phoneticPr fontId="2" type="noConversion"/>
  </si>
  <si>
    <t>인터넷공통 AP #2</t>
    <phoneticPr fontId="0" type="Hiragana"/>
  </si>
  <si>
    <t>PS9</t>
    <phoneticPr fontId="2" type="noConversion"/>
  </si>
  <si>
    <t xml:space="preserve">VOC 관리 </t>
    <phoneticPr fontId="0" type="Hiragana"/>
  </si>
  <si>
    <t>인트라넷 AP</t>
    <phoneticPr fontId="0" type="Hiragana"/>
  </si>
  <si>
    <t>인트라넷 AP #1</t>
    <phoneticPr fontId="0" type="Hiragana"/>
  </si>
  <si>
    <t>VOC 관리 Instance #1</t>
    <phoneticPr fontId="2" type="noConversion"/>
  </si>
  <si>
    <t>O</t>
    <phoneticPr fontId="2" type="noConversion"/>
  </si>
  <si>
    <t>F</t>
    <phoneticPr fontId="2" type="noConversion"/>
  </si>
  <si>
    <t>VOC 관리-고객의 소리</t>
    <phoneticPr fontId="0" type="Hiragana"/>
  </si>
  <si>
    <t>VOC 관리-고객의 소리</t>
    <phoneticPr fontId="0" type="Hiragana"/>
  </si>
  <si>
    <t>인트라넷 AP #2</t>
    <phoneticPr fontId="0" type="Hiragana"/>
  </si>
  <si>
    <t>인터넷공통 개발 AP #1</t>
    <phoneticPr fontId="2" type="noConversion"/>
  </si>
  <si>
    <t>e-Markplace</t>
    <phoneticPr fontId="0" type="Hiragana"/>
  </si>
  <si>
    <t>임직원 알뜰시장</t>
    <phoneticPr fontId="0" type="Hiragana"/>
  </si>
  <si>
    <t>모바일 경영Dashboard</t>
    <phoneticPr fontId="0" type="Hiragana"/>
  </si>
  <si>
    <t>총무지원</t>
    <phoneticPr fontId="0" type="Hiragana"/>
  </si>
  <si>
    <t>브랜드관리-외주</t>
    <phoneticPr fontId="0" type="Hiragana"/>
  </si>
  <si>
    <t>스마트워크플레이스 #1</t>
    <phoneticPr fontId="0" type="Hiragana"/>
  </si>
  <si>
    <t>스마트워크플레이스 #2</t>
    <phoneticPr fontId="0" type="Hiragana"/>
  </si>
  <si>
    <t>스마트워크플레이스 #3</t>
    <phoneticPr fontId="0" type="Hiragana"/>
  </si>
  <si>
    <t>하나로협의회</t>
    <phoneticPr fontId="0" type="Hiragana"/>
  </si>
  <si>
    <t>임직원 알뜰시장</t>
    <phoneticPr fontId="2" type="noConversion"/>
  </si>
  <si>
    <t>임직원 알뜰시장 관리자 Instance #1</t>
    <phoneticPr fontId="2" type="noConversion"/>
  </si>
  <si>
    <t>법인구매 고객 Instance #1</t>
    <phoneticPr fontId="2" type="noConversion"/>
  </si>
  <si>
    <t>법인구매 관리자 Instance #1</t>
    <phoneticPr fontId="2" type="noConversion"/>
  </si>
  <si>
    <t>총무지원 관리자 Instance #1</t>
    <phoneticPr fontId="2" type="noConversion"/>
  </si>
  <si>
    <t>O</t>
    <phoneticPr fontId="2" type="noConversion"/>
  </si>
  <si>
    <t>F</t>
    <phoneticPr fontId="2" type="noConversion"/>
  </si>
  <si>
    <t>임직원 알뜰시장 Instance #1</t>
    <phoneticPr fontId="2" type="noConversion"/>
  </si>
  <si>
    <t>t</t>
    <phoneticPr fontId="0" type="Hiragana"/>
  </si>
  <si>
    <t>총무지원 Instance #1</t>
    <phoneticPr fontId="2" type="noConversion"/>
  </si>
  <si>
    <t>O</t>
    <phoneticPr fontId="2" type="noConversion"/>
  </si>
  <si>
    <t>F</t>
    <phoneticPr fontId="2" type="noConversion"/>
  </si>
  <si>
    <t>d</t>
    <phoneticPr fontId="0" type="Hiragana"/>
  </si>
  <si>
    <t>offset</t>
    <phoneticPr fontId="2" type="noConversion"/>
  </si>
  <si>
    <t>Ajp-port</t>
    <phoneticPr fontId="2" type="noConversion"/>
  </si>
  <si>
    <t>Http-port</t>
    <phoneticPr fontId="2" type="noConversion"/>
  </si>
  <si>
    <t>Admin-console-port</t>
    <phoneticPr fontId="2" type="noConversion"/>
  </si>
  <si>
    <t>Admin-cli-port</t>
    <phoneticPr fontId="2" type="noConversion"/>
  </si>
  <si>
    <t>JBoss 인스턴스 구성</t>
    <phoneticPr fontId="2" type="noConversion"/>
  </si>
  <si>
    <t>p</t>
    <phoneticPr fontId="0" type="Hiragana"/>
  </si>
  <si>
    <t>PS9</t>
    <phoneticPr fontId="2" type="noConversion"/>
  </si>
  <si>
    <t>e-Markplace</t>
    <phoneticPr fontId="0" type="Hiragana"/>
  </si>
  <si>
    <t>모바일 경영Dashboard</t>
    <phoneticPr fontId="0" type="Hiragana"/>
  </si>
  <si>
    <t>관리 업무/솔루션 인스턴스</t>
    <phoneticPr fontId="0" type="Hiragana"/>
  </si>
  <si>
    <t>MS71</t>
    <phoneticPr fontId="0" type="Hiragana"/>
  </si>
  <si>
    <t>PQ11</t>
    <phoneticPr fontId="0" type="Hiragana"/>
  </si>
  <si>
    <t>SP11</t>
    <phoneticPr fontId="0" type="Hiragana"/>
  </si>
  <si>
    <t>/fbpt/webroot/ezwel-welfare-user/webapp</t>
    <phoneticPr fontId="2" type="noConversion"/>
  </si>
  <si>
    <t>BE1</t>
    <phoneticPr fontId="0" type="Hiragana"/>
  </si>
  <si>
    <t>VMS</t>
    <phoneticPr fontId="2" type="noConversion"/>
  </si>
  <si>
    <t>PQ1</t>
    <phoneticPr fontId="0" type="Hiragana"/>
  </si>
  <si>
    <t>SV11</t>
    <phoneticPr fontId="0" type="Hiragana"/>
  </si>
  <si>
    <t>SV12</t>
    <phoneticPr fontId="0" type="Hiragana"/>
  </si>
  <si>
    <t>SV13</t>
    <phoneticPr fontId="0" type="Hiragana"/>
  </si>
  <si>
    <t>SV14</t>
    <phoneticPr fontId="0" type="Hiragana"/>
  </si>
  <si>
    <t>WO12</t>
    <phoneticPr fontId="0" type="Hiragana"/>
  </si>
  <si>
    <t>BE11</t>
    <phoneticPr fontId="0" type="Hiragana"/>
  </si>
  <si>
    <t>GE21</t>
    <phoneticPr fontId="0" type="Hiragana"/>
  </si>
  <si>
    <t>PS91</t>
    <phoneticPr fontId="0" type="Hiragana"/>
  </si>
  <si>
    <t>VMS1</t>
    <phoneticPr fontId="0" type="Hiragana"/>
  </si>
  <si>
    <t>BIM1</t>
    <phoneticPr fontId="0" type="Hiragana"/>
  </si>
  <si>
    <t>WO11</t>
    <phoneticPr fontId="0" type="Hiragana"/>
  </si>
  <si>
    <t>O</t>
    <phoneticPr fontId="2" type="noConversion"/>
  </si>
  <si>
    <t>O</t>
    <phoneticPr fontId="2" type="noConversion"/>
  </si>
  <si>
    <t>S</t>
    <phoneticPr fontId="2" type="noConversion"/>
  </si>
  <si>
    <t>F</t>
    <phoneticPr fontId="2" type="noConversion"/>
  </si>
  <si>
    <t>F</t>
    <phoneticPr fontId="2" type="noConversion"/>
  </si>
  <si>
    <t>WO13</t>
    <phoneticPr fontId="0" type="Hiragana"/>
  </si>
  <si>
    <t>VMS</t>
    <phoneticPr fontId="2" type="noConversion"/>
  </si>
  <si>
    <t>/flb/sv1/sv11/wasApps</t>
    <phoneticPr fontId="2" type="noConversion"/>
  </si>
  <si>
    <t>/flb/sv12/wasApps</t>
    <phoneticPr fontId="2" type="noConversion"/>
  </si>
  <si>
    <t>최종</t>
    <phoneticPr fontId="0" type="Hiragana"/>
  </si>
  <si>
    <t>도메인코드</t>
    <phoneticPr fontId="0" type="Hiragana"/>
  </si>
  <si>
    <t>시스템코드</t>
    <phoneticPr fontId="0" type="Hiragana"/>
  </si>
  <si>
    <t>FLB</t>
    <phoneticPr fontId="2" type="noConversion"/>
  </si>
  <si>
    <t>FLB</t>
    <phoneticPr fontId="0" type="Hiragana"/>
  </si>
  <si>
    <t>S</t>
    <phoneticPr fontId="2" type="noConversion"/>
  </si>
  <si>
    <t>web-Http-port</t>
    <phoneticPr fontId="2" type="noConversion"/>
  </si>
  <si>
    <t>web-Https-port</t>
    <phoneticPr fontId="2" type="noConversion"/>
  </si>
  <si>
    <t>SV1</t>
    <phoneticPr fontId="2" type="noConversion"/>
  </si>
  <si>
    <t>SV1</t>
    <phoneticPr fontId="2" type="noConversion"/>
  </si>
  <si>
    <t>SV1</t>
    <phoneticPr fontId="2" type="noConversion"/>
  </si>
  <si>
    <t>SV1</t>
    <phoneticPr fontId="2" type="noConversion"/>
  </si>
  <si>
    <t>계열사 어드민</t>
    <phoneticPr fontId="0" type="Hiragana"/>
  </si>
  <si>
    <t>계열사 어드민</t>
    <phoneticPr fontId="0" type="Hiragana"/>
  </si>
  <si>
    <t>계열사 어드민 Instance #1</t>
    <phoneticPr fontId="2" type="noConversion"/>
  </si>
  <si>
    <t>계열사 어드민</t>
    <phoneticPr fontId="0" type="Hiragana"/>
  </si>
  <si>
    <t>설치여부</t>
    <phoneticPr fontId="2" type="noConversion"/>
  </si>
  <si>
    <t>설치 도메인 홈</t>
    <phoneticPr fontId="2" type="noConversion"/>
  </si>
  <si>
    <t>WAS Console</t>
    <phoneticPr fontId="2" type="noConversion"/>
  </si>
  <si>
    <t>ID/PASSWORD</t>
    <phoneticPr fontId="2" type="noConversion"/>
  </si>
  <si>
    <t>EWS(Web Server) 인스턴스 구성</t>
    <phoneticPr fontId="2" type="noConversion"/>
  </si>
  <si>
    <t>EWS Console</t>
    <phoneticPr fontId="2" type="noConversion"/>
  </si>
  <si>
    <t>계열사 어드민</t>
    <phoneticPr fontId="0" type="Hiragana"/>
  </si>
  <si>
    <t>계열사 어드민</t>
    <phoneticPr fontId="0" type="Hiragana"/>
  </si>
  <si>
    <t>계열사 어드민</t>
    <phoneticPr fontId="0" type="Hiragana"/>
  </si>
  <si>
    <t>고객서비스</t>
    <phoneticPr fontId="0" type="Hiragana"/>
  </si>
  <si>
    <t>모바일고객서비스</t>
    <phoneticPr fontId="0" type="Hiragana"/>
  </si>
  <si>
    <t>선복 관리자서비스</t>
    <phoneticPr fontId="0" type="Hiragana"/>
  </si>
  <si>
    <t>모바일고객서비스</t>
    <phoneticPr fontId="0" type="Hiragana"/>
  </si>
  <si>
    <t>고객서비스</t>
    <phoneticPr fontId="2" type="noConversion"/>
  </si>
  <si>
    <t>선복 관리자서비스</t>
    <phoneticPr fontId="0" type="Hiragana"/>
  </si>
  <si>
    <t>고객서비스</t>
    <phoneticPr fontId="2" type="noConversion"/>
  </si>
  <si>
    <t>모바일고객서비스</t>
    <phoneticPr fontId="0" type="Hiragana"/>
  </si>
  <si>
    <t>선복 관리자서비스</t>
    <phoneticPr fontId="0" type="Hiragana"/>
  </si>
  <si>
    <t>jbossadmin/!admin123</t>
  </si>
  <si>
    <t>n/a</t>
    <phoneticPr fontId="2" type="noConversion"/>
  </si>
  <si>
    <t>O</t>
    <phoneticPr fontId="2" type="noConversion"/>
  </si>
  <si>
    <t>인터넷공통 개발 #1</t>
    <phoneticPr fontId="2" type="noConversion"/>
  </si>
  <si>
    <t>인터넷공통 개발 #1</t>
    <phoneticPr fontId="2" type="noConversion"/>
  </si>
  <si>
    <t>인터넷공통 개발 #1</t>
    <phoneticPr fontId="2" type="noConversion"/>
  </si>
  <si>
    <t>선택적복지 운영 #1</t>
    <phoneticPr fontId="0" type="Hiragana"/>
  </si>
  <si>
    <t>선택적복지 운영 #1</t>
    <phoneticPr fontId="0" type="Hiragana"/>
  </si>
  <si>
    <t>선택적복지 운영 #2</t>
    <phoneticPr fontId="0" type="Hiragana"/>
  </si>
  <si>
    <t>선택적복지 운영 #2</t>
    <phoneticPr fontId="0" type="Hiragana"/>
  </si>
  <si>
    <t>인터넷공통 운영 #1</t>
    <phoneticPr fontId="0" type="Hiragana"/>
  </si>
  <si>
    <t>인터넷공통 운영 #1</t>
    <phoneticPr fontId="0" type="Hiragana"/>
  </si>
  <si>
    <t>인터넷공통 운영 #1</t>
    <phoneticPr fontId="0" type="Hiragana"/>
  </si>
  <si>
    <t>인터넷공통 운영 #1</t>
    <phoneticPr fontId="0" type="Hiragana"/>
  </si>
  <si>
    <t>스마트워크플레이스  운영 #1</t>
    <phoneticPr fontId="0" type="Hiragana"/>
  </si>
  <si>
    <t>스마트워크플레이스  운영 #1</t>
    <phoneticPr fontId="0" type="Hiragana"/>
  </si>
  <si>
    <t xml:space="preserve">스마트워크플레이스  운영 #1 </t>
    <phoneticPr fontId="0" type="Hiragana"/>
  </si>
  <si>
    <t>인터넷공통 운영 #2</t>
    <phoneticPr fontId="0" type="Hiragana"/>
  </si>
  <si>
    <t>인터넷공통 운영 #2</t>
    <phoneticPr fontId="0" type="Hiragana"/>
  </si>
  <si>
    <t>인터넷공통 운영 #2</t>
    <phoneticPr fontId="0" type="Hiragana"/>
  </si>
  <si>
    <t>인터넷공통 운영 #2</t>
    <phoneticPr fontId="0" type="Hiragana"/>
  </si>
  <si>
    <t xml:space="preserve">스마트워크플레이스 운영 #2  </t>
    <phoneticPr fontId="0" type="Hiragana"/>
  </si>
  <si>
    <t xml:space="preserve">스마트워크플레이스 운영 #2 </t>
    <phoneticPr fontId="0" type="Hiragana"/>
  </si>
  <si>
    <t>인트라넷 운영 #1</t>
    <phoneticPr fontId="0" type="Hiragana"/>
  </si>
  <si>
    <t>인트라넷 운영 #2</t>
    <phoneticPr fontId="0" type="Hiragana"/>
  </si>
  <si>
    <t>인트라넷 운영 #2</t>
    <phoneticPr fontId="0" type="Hiragana"/>
  </si>
  <si>
    <t>WEB
호스트명</t>
    <phoneticPr fontId="2" type="noConversion"/>
  </si>
  <si>
    <t>WAS
호스트명</t>
    <phoneticPr fontId="2" type="noConversion"/>
  </si>
  <si>
    <t>선택적복지 DR #1</t>
    <phoneticPr fontId="0" type="Hiragana"/>
  </si>
  <si>
    <t>선택적복지 DR #2</t>
    <phoneticPr fontId="0" type="Hiragana"/>
  </si>
  <si>
    <t>JMX</t>
    <phoneticPr fontId="0" type="Hiragana"/>
  </si>
  <si>
    <t>JGROUP</t>
    <phoneticPr fontId="0" type="Hiragana"/>
  </si>
  <si>
    <t>IF-SAFE</t>
    <phoneticPr fontId="2" type="noConversion"/>
  </si>
  <si>
    <t xml:space="preserve"> 선택적복지 AP #1/2
psfbap01/02</t>
    <phoneticPr fontId="0" type="Hiragana"/>
  </si>
  <si>
    <t>선택적복지 AP #1/2
psfbap01/02</t>
    <phoneticPr fontId="2" type="noConversion"/>
  </si>
  <si>
    <t>IT-SAFE</t>
    <phoneticPr fontId="2" type="noConversion"/>
  </si>
  <si>
    <t>ifsafeDom</t>
    <phoneticPr fontId="0" type="Hiragana"/>
  </si>
  <si>
    <t>SF1</t>
    <phoneticPr fontId="2" type="noConversion"/>
  </si>
  <si>
    <t>SF11</t>
    <phoneticPr fontId="0" type="Hiragana"/>
  </si>
  <si>
    <t>SF1</t>
    <phoneticPr fontId="2" type="noConversion"/>
  </si>
  <si>
    <t>선택적복지 AP</t>
    <phoneticPr fontId="0" type="Hiragana"/>
  </si>
  <si>
    <t>선택적복지 AP</t>
    <phoneticPr fontId="0" type="Hiragana"/>
  </si>
  <si>
    <t>IT-SAFE</t>
    <phoneticPr fontId="0" type="Hiragana"/>
  </si>
  <si>
    <t>선택적복지</t>
    <phoneticPr fontId="2" type="noConversion"/>
  </si>
  <si>
    <t>IT-SAFE #1</t>
    <phoneticPr fontId="2" type="noConversion"/>
  </si>
  <si>
    <t>IT-SAFE</t>
    <phoneticPr fontId="0" type="Hiragana"/>
  </si>
  <si>
    <t>d</t>
    <phoneticPr fontId="0" type="Hiragana"/>
  </si>
  <si>
    <t>SV1</t>
    <phoneticPr fontId="2" type="noConversion"/>
  </si>
  <si>
    <t>선택적복지 DR #2</t>
    <phoneticPr fontId="0" type="Hiragana"/>
  </si>
  <si>
    <t>선복 관리자서비스</t>
    <phoneticPr fontId="0" type="Hiragana"/>
  </si>
  <si>
    <t>관리자서비스 ?? Instance #1</t>
    <phoneticPr fontId="2" type="noConversion"/>
  </si>
  <si>
    <t>도메인</t>
    <phoneticPr fontId="2" type="noConversion"/>
  </si>
  <si>
    <t>관리자서비스 ?? Instance #1</t>
    <phoneticPr fontId="2" type="noConversion"/>
  </si>
  <si>
    <t>IT-SAFE Instance #1</t>
    <phoneticPr fontId="2" type="noConversion"/>
  </si>
  <si>
    <t>F</t>
    <phoneticPr fontId="2" type="noConversion"/>
  </si>
  <si>
    <t>p</t>
    <phoneticPr fontId="0" type="Hiragana"/>
  </si>
  <si>
    <t>선택적복지 AP #2</t>
    <phoneticPr fontId="0" type="Hiragana"/>
  </si>
  <si>
    <t>cl13.p.apm.samsungcard.biz (40.226.150.235)</t>
    <phoneticPr fontId="2" type="noConversion"/>
  </si>
  <si>
    <t>n/a</t>
    <phoneticPr fontId="2" type="noConversion"/>
  </si>
  <si>
    <t>SF1</t>
    <phoneticPr fontId="2" type="noConversion"/>
  </si>
  <si>
    <t>d</t>
    <phoneticPr fontId="2" type="noConversion"/>
  </si>
  <si>
    <t>선복 관리자서비스</t>
    <phoneticPr fontId="0" type="Hiragana"/>
  </si>
  <si>
    <t>선복 DTM</t>
  </si>
  <si>
    <t>L3</t>
    <phoneticPr fontId="2" type="noConversion"/>
  </si>
  <si>
    <t>dtmDom</t>
    <phoneticPr fontId="2" type="noConversion"/>
  </si>
  <si>
    <t>선복 DTM</t>
    <phoneticPr fontId="0" type="Hiragana"/>
  </si>
  <si>
    <t>SV15</t>
    <phoneticPr fontId="0" type="Hiragana"/>
  </si>
  <si>
    <t>대분류</t>
    <phoneticPr fontId="0" type="Hiragana"/>
  </si>
  <si>
    <t>소분류</t>
    <phoneticPr fontId="0" type="Hiragana"/>
  </si>
  <si>
    <t>default값</t>
    <phoneticPr fontId="0" type="Hiragana"/>
  </si>
  <si>
    <t>적용 기준</t>
    <phoneticPr fontId="0" type="Hiragana"/>
  </si>
  <si>
    <t>적용</t>
    <phoneticPr fontId="0" type="Hiragana"/>
  </si>
  <si>
    <t>EAP
환경구성</t>
    <phoneticPr fontId="2" type="noConversion"/>
  </si>
  <si>
    <t>EAP
설치</t>
    <phoneticPr fontId="2" type="noConversion"/>
  </si>
  <si>
    <t>OS</t>
    <phoneticPr fontId="2" type="noConversion"/>
  </si>
  <si>
    <t>Oracle Linux Server release 7.2</t>
    <phoneticPr fontId="2" type="noConversion"/>
  </si>
  <si>
    <t>설치계정</t>
    <phoneticPr fontId="2" type="noConversion"/>
  </si>
  <si>
    <t>jboss7</t>
    <phoneticPr fontId="2" type="noConversion"/>
  </si>
  <si>
    <t>Jboss 설치 버전</t>
    <phoneticPr fontId="2" type="noConversion"/>
  </si>
  <si>
    <t>Jboss EAP 7.0</t>
    <phoneticPr fontId="2" type="noConversion"/>
  </si>
  <si>
    <t>Jboss EAP 7.0 (Patch 적용 후 7.0.0.4)</t>
    <phoneticPr fontId="2" type="noConversion"/>
  </si>
  <si>
    <t>설치 경로</t>
    <phoneticPr fontId="2" type="noConversion"/>
  </si>
  <si>
    <t>/was/jboss7/jboss-eap-7.0</t>
  </si>
  <si>
    <t>디지털채널 설치 표준</t>
    <phoneticPr fontId="2" type="noConversion"/>
  </si>
  <si>
    <t>도메인 구성 경로</t>
    <phoneticPr fontId="2" type="noConversion"/>
  </si>
  <si>
    <t>/was/jboss7/domains</t>
  </si>
  <si>
    <t>JAVA 버전</t>
    <phoneticPr fontId="2" type="noConversion"/>
  </si>
  <si>
    <t>1.8 64Bit</t>
    <phoneticPr fontId="2" type="noConversion"/>
  </si>
  <si>
    <t>Doc 홈</t>
    <phoneticPr fontId="2" type="noConversion"/>
  </si>
  <si>
    <r>
      <t>/</t>
    </r>
    <r>
      <rPr>
        <b/>
        <sz val="10"/>
        <color rgb="FFFF0000"/>
        <rFont val="맑은 고딕"/>
        <family val="3"/>
        <charset val="129"/>
        <scheme val="minor"/>
      </rPr>
      <t>{시스템코드}</t>
    </r>
    <r>
      <rPr>
        <sz val="10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{도메인코드}</t>
    </r>
    <r>
      <rPr>
        <sz val="10"/>
        <rFont val="맑은 고딕"/>
        <family val="3"/>
        <charset val="129"/>
        <scheme val="minor"/>
      </rPr>
      <t>/wasApp/</t>
    </r>
    <phoneticPr fontId="2" type="noConversion"/>
  </si>
  <si>
    <t>보안 및 권한 정책상 appl 담당자가 접근하지 못하도록 OS계정 분리 필요 (ARM deploy 정책에 따름)</t>
    <phoneticPr fontId="2" type="noConversion"/>
  </si>
  <si>
    <t>EAP
로그 위치 설정</t>
    <phoneticPr fontId="2" type="noConversion"/>
  </si>
  <si>
    <t>nohup 로그</t>
    <phoneticPr fontId="2" type="noConversion"/>
  </si>
  <si>
    <r>
      <t>/log/jboss7/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theme="1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/log/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.out</t>
    </r>
    <phoneticPr fontId="2" type="noConversion"/>
  </si>
  <si>
    <t>GC 로그</t>
    <phoneticPr fontId="2" type="noConversion"/>
  </si>
  <si>
    <r>
      <t>/log/jboss7/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theme="1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/gclog/gc_$DATE.log</t>
    </r>
    <phoneticPr fontId="2" type="noConversion"/>
  </si>
  <si>
    <t>로그는 일별 rotate 되도록 설정되어야 함. (포맷 : gc_${INSTANCE_NAME}_%Y%m%d.out)</t>
    <phoneticPr fontId="2" type="noConversion"/>
  </si>
  <si>
    <t>server 로그</t>
    <phoneticPr fontId="2" type="noConversion"/>
  </si>
  <si>
    <r>
      <t>/log/jboss7/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theme="1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/log/server.log</t>
    </r>
    <phoneticPr fontId="2" type="noConversion"/>
  </si>
  <si>
    <t>로그는 일별 rotate 되도록 설정되어야 함. (포맷 : server_{INSTANCE_NAME}.log_%Y%m%d.log)</t>
    <phoneticPr fontId="2" type="noConversion"/>
  </si>
  <si>
    <t>access 로그</t>
    <phoneticPr fontId="2" type="noConversion"/>
  </si>
  <si>
    <t>디지털채널 설치 표준</t>
    <phoneticPr fontId="2" type="noConversion"/>
  </si>
  <si>
    <t>어플리케이션 로그</t>
    <phoneticPr fontId="2" type="noConversion"/>
  </si>
  <si>
    <r>
      <t>/</t>
    </r>
    <r>
      <rPr>
        <b/>
        <sz val="10"/>
        <color rgb="FFFF0000"/>
        <rFont val="맑은 고딕"/>
        <family val="3"/>
        <charset val="129"/>
        <scheme val="minor"/>
      </rPr>
      <t>app_</t>
    </r>
    <r>
      <rPr>
        <sz val="10"/>
        <rFont val="맑은 고딕"/>
        <family val="3"/>
        <charset val="129"/>
        <scheme val="minor"/>
      </rPr>
      <t>log/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phoneticPr fontId="2" type="noConversion"/>
  </si>
  <si>
    <t>배치 로그</t>
    <phoneticPr fontId="2" type="noConversion"/>
  </si>
  <si>
    <t>JAVA 배치에서 남기는 어플리케이션 로그</t>
    <phoneticPr fontId="2" type="noConversion"/>
  </si>
  <si>
    <r>
      <t>/</t>
    </r>
    <r>
      <rPr>
        <b/>
        <sz val="10"/>
        <color rgb="FFFF0000"/>
        <rFont val="맑은 고딕"/>
        <family val="3"/>
        <charset val="129"/>
        <scheme val="minor"/>
      </rPr>
      <t>app_</t>
    </r>
    <r>
      <rPr>
        <sz val="10"/>
        <rFont val="맑은 고딕"/>
        <family val="3"/>
        <charset val="129"/>
        <scheme val="minor"/>
      </rPr>
      <t>log/batch/</t>
    </r>
    <r>
      <rPr>
        <b/>
        <sz val="10"/>
        <color rgb="FFFF0000"/>
        <rFont val="맑은 고딕"/>
        <family val="3"/>
        <charset val="129"/>
        <scheme val="minor"/>
      </rPr>
      <t>{L3코드}</t>
    </r>
    <r>
      <rPr>
        <sz val="10"/>
        <rFont val="맑은 고딕"/>
        <family val="3"/>
        <charset val="129"/>
        <scheme val="minor"/>
      </rPr>
      <t>/</t>
    </r>
    <phoneticPr fontId="2" type="noConversion"/>
  </si>
  <si>
    <t>어플리케이션 로그 (솔루션)</t>
    <phoneticPr fontId="2" type="noConversion"/>
  </si>
  <si>
    <t>각 솔루션에서 남기는 어플리케이션 로그</t>
    <phoneticPr fontId="2" type="noConversion"/>
  </si>
  <si>
    <r>
      <t>/log/</t>
    </r>
    <r>
      <rPr>
        <b/>
        <sz val="10"/>
        <color rgb="FFFF0000"/>
        <rFont val="맑은 고딕"/>
        <family val="3"/>
        <charset val="129"/>
        <scheme val="minor"/>
      </rPr>
      <t>{솔루션명}</t>
    </r>
    <r>
      <rPr>
        <sz val="10"/>
        <rFont val="맑은 고딕"/>
        <family val="3"/>
        <charset val="129"/>
        <scheme val="minor"/>
      </rPr>
      <t>/</t>
    </r>
    <phoneticPr fontId="2" type="noConversion"/>
  </si>
  <si>
    <t>EAP
덤프 위치 설정</t>
    <phoneticPr fontId="2" type="noConversion"/>
  </si>
  <si>
    <t>Heap Dump</t>
    <phoneticPr fontId="2" type="noConversion"/>
  </si>
  <si>
    <t>Thread Dump</t>
    <phoneticPr fontId="2" type="noConversion"/>
  </si>
  <si>
    <t>Thread Dump</t>
    <phoneticPr fontId="2" type="noConversion"/>
  </si>
  <si>
    <t>Core Dump</t>
    <phoneticPr fontId="2" type="noConversion"/>
  </si>
  <si>
    <t>-</t>
    <phoneticPr fontId="2" type="noConversion"/>
  </si>
  <si>
    <t>센터 위임</t>
    <phoneticPr fontId="2" type="noConversion"/>
  </si>
  <si>
    <t>기동
스크립트</t>
    <phoneticPr fontId="2" type="noConversion"/>
  </si>
  <si>
    <t>Domain 별 각 환경 변수(JVM, Jboss) 스크립트</t>
    <phoneticPr fontId="2" type="noConversion"/>
  </si>
  <si>
    <r>
      <t>/was/jboss7/domains/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/bin/env.sh</t>
    </r>
    <phoneticPr fontId="2" type="noConversion"/>
  </si>
  <si>
    <t>Domain의 Instance를 기동</t>
    <phoneticPr fontId="2" type="noConversion"/>
  </si>
  <si>
    <r>
      <t>/was/jboss7/domains/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theme="1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/bin/start.sh</t>
    </r>
    <phoneticPr fontId="2" type="noConversion"/>
  </si>
  <si>
    <t>Domain의 Instance를 중지</t>
    <phoneticPr fontId="2" type="noConversion"/>
  </si>
  <si>
    <r>
      <t>/was/jboss7/domains/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theme="1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/bin/shutdown.sh</t>
    </r>
    <phoneticPr fontId="2" type="noConversion"/>
  </si>
  <si>
    <t>app 설정</t>
    <phoneticPr fontId="2" type="noConversion"/>
  </si>
  <si>
    <t>jboss-web.xml 설정</t>
    <phoneticPr fontId="2" type="noConversion"/>
  </si>
  <si>
    <t xml:space="preserve">
context_root 설정 등 app를 위한 설정 사전확인 필요
</t>
    <phoneticPr fontId="2" type="noConversion"/>
  </si>
  <si>
    <t>web.xml 설정</t>
  </si>
  <si>
    <t>web.xml 을 사용한 app에 대하여 설정값 사전확인 필요 (에러페이지 등)</t>
    <phoneticPr fontId="2" type="noConversion"/>
  </si>
  <si>
    <t>Admin</t>
    <phoneticPr fontId="2" type="noConversion"/>
  </si>
  <si>
    <t xml:space="preserve">jboss admin console </t>
    <phoneticPr fontId="2" type="noConversion"/>
  </si>
  <si>
    <t>admin-&gt;jbossadmin</t>
    <phoneticPr fontId="2" type="noConversion"/>
  </si>
  <si>
    <r>
      <t>/was/jboss7/domains/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theme="1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/configuration/mgmt-users.properties</t>
    </r>
    <phoneticPr fontId="2" type="noConversion"/>
  </si>
  <si>
    <t>DataSource</t>
    <phoneticPr fontId="0" type="Hiragana"/>
  </si>
  <si>
    <t>DB Pool 세팅</t>
    <phoneticPr fontId="0" type="Hiragana"/>
  </si>
  <si>
    <t>설치 권고 값</t>
    <phoneticPr fontId="2" type="noConversion"/>
  </si>
  <si>
    <t>-Xms</t>
    <phoneticPr fontId="0" type="Hiragana"/>
  </si>
  <si>
    <t>설치 권고 값</t>
    <phoneticPr fontId="2" type="noConversion"/>
  </si>
  <si>
    <t>1024m</t>
    <phoneticPr fontId="0" type="Hiragana"/>
  </si>
  <si>
    <t xml:space="preserve">인스턴스별 적정값 적용 </t>
    <phoneticPr fontId="0" type="Hiragana"/>
  </si>
  <si>
    <t>-Xmx</t>
    <phoneticPr fontId="0" type="Hiragana"/>
  </si>
  <si>
    <t>Heap 최대 사이즈</t>
    <phoneticPr fontId="0" type="Hiragana"/>
  </si>
  <si>
    <t>-XX:MetaspaceSize</t>
    <phoneticPr fontId="2" type="noConversion"/>
  </si>
  <si>
    <t>Metaspace 사이즈</t>
    <phoneticPr fontId="2" type="noConversion"/>
  </si>
  <si>
    <t>256m</t>
    <phoneticPr fontId="2" type="noConversion"/>
  </si>
  <si>
    <t>-XX:MaxMetaspaceSize</t>
    <phoneticPr fontId="2" type="noConversion"/>
  </si>
  <si>
    <t>Dump
설정</t>
    <phoneticPr fontId="0" type="Hiragana"/>
  </si>
  <si>
    <t>-XX:HeapDumpPath</t>
    <phoneticPr fontId="0" type="Hiragana"/>
  </si>
  <si>
    <t>Heapdump 위치 설정</t>
    <phoneticPr fontId="0" type="Hiragana"/>
  </si>
  <si>
    <t>N/A</t>
    <phoneticPr fontId="0" type="Hiragana"/>
  </si>
  <si>
    <r>
      <t>LOG_HOME=/log/jboss7/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rgb="FF000000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rgb="FF000000"/>
        <rFont val="맑은 고딕"/>
        <family val="3"/>
        <charset val="129"/>
        <scheme val="minor"/>
      </rPr>
      <t xml:space="preserve">
HEAP_DUMP_DIR=${LOG_HOME}/heaplog
-XX:HeapDumpPath=$HEAP_DUMP_DIR/$SERVER_NAME.hprof.$DATE"</t>
    </r>
    <phoneticPr fontId="2" type="noConversion"/>
  </si>
  <si>
    <t>-XX:+HeapDumpOnOutOfMemoryError</t>
    <phoneticPr fontId="0" type="Hiragana"/>
  </si>
  <si>
    <t>Out Of Memory 발생 시 HeapDump를 file에 기록</t>
    <phoneticPr fontId="0" type="Hiragana"/>
  </si>
  <si>
    <t>설치 권고 값</t>
    <phoneticPr fontId="2" type="noConversion"/>
  </si>
  <si>
    <t>GC 설정</t>
    <phoneticPr fontId="2" type="noConversion"/>
  </si>
  <si>
    <t>-XX:+PrintGCTimeStamps</t>
    <phoneticPr fontId="0" type="Hiragana"/>
  </si>
  <si>
    <t>Print timestamps at garbage collection</t>
    <phoneticPr fontId="0" type="Hiragana"/>
  </si>
  <si>
    <t>튜닝을 위한 옵션임</t>
    <phoneticPr fontId="0" type="Hiragana"/>
  </si>
  <si>
    <t>-XX:+PrintGCDetails</t>
    <phoneticPr fontId="0" type="Hiragana"/>
  </si>
  <si>
    <t>튜닝을 위한 옵션임</t>
    <phoneticPr fontId="0" type="Hiragana"/>
  </si>
  <si>
    <t>-XX:+PrintGCDateStamps</t>
    <phoneticPr fontId="2" type="noConversion"/>
  </si>
  <si>
    <t>GC 수행 일시가 남도록 설정 추가 – 로그 분석 용이성 확보</t>
    <phoneticPr fontId="2" type="noConversion"/>
  </si>
  <si>
    <t xml:space="preserve">-verbose:gc </t>
    <phoneticPr fontId="0" type="Hiragana"/>
  </si>
  <si>
    <t>GC가 수행되고 얼마나 걸렸는지를 로그에 남김.
(GC 발생시간, GC 수행요소 시간, GC 발생 당시 Heap Usage)</t>
    <phoneticPr fontId="0" type="Hiragana"/>
  </si>
  <si>
    <t>-Xloggc:&lt;파일&gt;</t>
    <phoneticPr fontId="0" type="Hiragana"/>
  </si>
  <si>
    <t>GC Dump를 저장할 파일명을 지정
시간 기록과 함께 파일에 GC 상태를 기록
파일명 지정하지 않으면 콘솔에 출력</t>
    <phoneticPr fontId="0" type="Hiragana"/>
  </si>
  <si>
    <r>
      <t>GC_LOG="/log/jboss7/$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rgb="FF000000"/>
        <rFont val="맑은 고딕"/>
        <family val="3"/>
        <charset val="129"/>
        <scheme val="minor"/>
      </rPr>
      <t>/${ServerName}/gclog/gc_$DATE.log"
'-Xloggc:$GC_LOG_DIR/gc.log'</t>
    </r>
    <phoneticPr fontId="2" type="noConversion"/>
  </si>
  <si>
    <t>대분류</t>
    <phoneticPr fontId="2" type="noConversion"/>
  </si>
  <si>
    <t>소분류</t>
    <phoneticPr fontId="2" type="noConversion"/>
  </si>
  <si>
    <t>옵   션   명</t>
    <phoneticPr fontId="2" type="noConversion"/>
  </si>
  <si>
    <t>적용 기준</t>
    <phoneticPr fontId="2" type="noConversion"/>
  </si>
  <si>
    <t>적용값</t>
    <phoneticPr fontId="2" type="noConversion"/>
  </si>
  <si>
    <t>비고</t>
    <phoneticPr fontId="2" type="noConversion"/>
  </si>
  <si>
    <t>System</t>
    <phoneticPr fontId="2" type="noConversion"/>
  </si>
  <si>
    <t>General</t>
    <phoneticPr fontId="2" type="noConversion"/>
  </si>
  <si>
    <t>Host Name</t>
    <phoneticPr fontId="2" type="noConversion"/>
  </si>
  <si>
    <t>디지털채널 명명규칙</t>
  </si>
  <si>
    <t>- 서버구분 : 운영(p), 개발(t), 검증(v), 재해복구(d)
- 시스템코드(TA 코드) : 선택적복지(flb), 인터넷 공통(ico), 인트라넷(itn), 스마트워크플레이스(swp)
- 서버용도 : WEB서버(wb), AP서버(ap), DB서버(db</t>
    <phoneticPr fontId="2" type="noConversion"/>
  </si>
  <si>
    <t>- 8자리 소문자로 작성
   [1][2][3][4][5][6][7][8]
- [1]       : 서버구분
  [2-4]    : 시스템코드(TA 코드)
  [5-6]    : 서버용도
  [7-8]    : Sequence (1부터 채번 수행)</t>
    <phoneticPr fontId="2" type="noConversion"/>
  </si>
  <si>
    <t>OS</t>
    <phoneticPr fontId="2" type="noConversion"/>
  </si>
  <si>
    <t>Oracle Linux Server release 7.2</t>
    <phoneticPr fontId="2" type="noConversion"/>
  </si>
  <si>
    <t>Domain Home</t>
    <phoneticPr fontId="2" type="noConversion"/>
  </si>
  <si>
    <t>디지털채널 설치 표준</t>
    <phoneticPr fontId="2" type="noConversion"/>
  </si>
  <si>
    <r>
      <t>/web/jws3/domains/</t>
    </r>
    <r>
      <rPr>
        <b/>
        <sz val="11"/>
        <color rgb="FFFF0000"/>
        <rFont val="맑은 고딕"/>
        <family val="3"/>
        <charset val="129"/>
        <scheme val="minor"/>
      </rPr>
      <t>{도메인명}</t>
    </r>
    <r>
      <rPr>
        <sz val="11"/>
        <rFont val="맑은 고딕"/>
        <family val="3"/>
        <charset val="129"/>
        <scheme val="minor"/>
      </rPr>
      <t>/</t>
    </r>
    <phoneticPr fontId="2" type="noConversion"/>
  </si>
  <si>
    <t>엔진 경로와 분리됨. 엔진경로 : /web/jws3/httpd</t>
    <phoneticPr fontId="2" type="noConversion"/>
  </si>
  <si>
    <t>Log Home</t>
    <phoneticPr fontId="2" type="noConversion"/>
  </si>
  <si>
    <r>
      <t>/log/jws3/</t>
    </r>
    <r>
      <rPr>
        <b/>
        <sz val="11"/>
        <color rgb="FFFF0000"/>
        <rFont val="맑은 고딕"/>
        <family val="3"/>
        <charset val="129"/>
        <scheme val="minor"/>
      </rPr>
      <t>{도메인명}</t>
    </r>
    <phoneticPr fontId="2" type="noConversion"/>
  </si>
  <si>
    <t>EWS 설치 환경</t>
    <phoneticPr fontId="2" type="noConversion"/>
  </si>
  <si>
    <t>EWS 설치</t>
    <phoneticPr fontId="2" type="noConversion"/>
  </si>
  <si>
    <t>설치계정</t>
  </si>
  <si>
    <t>jws3</t>
    <phoneticPr fontId="2" type="noConversion"/>
  </si>
  <si>
    <t>EWS 설치 버전</t>
    <phoneticPr fontId="2" type="noConversion"/>
  </si>
  <si>
    <t>Apache/2.4.6 (Jboss EWS)</t>
    <phoneticPr fontId="2" type="noConversion"/>
  </si>
  <si>
    <t>설치 경로</t>
  </si>
  <si>
    <t>/web/jws3/httpd</t>
  </si>
  <si>
    <t>도메인 구성 경로</t>
  </si>
  <si>
    <t>/web/jws3/domains</t>
    <phoneticPr fontId="2" type="noConversion"/>
  </si>
  <si>
    <t>EWS
로그 위치 설정</t>
    <phoneticPr fontId="2" type="noConversion"/>
  </si>
  <si>
    <t>access 로그</t>
    <phoneticPr fontId="2" type="noConversion"/>
  </si>
  <si>
    <t>error 로그</t>
    <phoneticPr fontId="2" type="noConversion"/>
  </si>
  <si>
    <t>-</t>
    <phoneticPr fontId="2" type="noConversion"/>
  </si>
  <si>
    <t>EWS
웹 컴포넌트
구성</t>
    <phoneticPr fontId="2" type="noConversion"/>
  </si>
  <si>
    <t>httpd.conf
설정</t>
    <phoneticPr fontId="2" type="noConversion"/>
  </si>
  <si>
    <t>기본 구성</t>
    <phoneticPr fontId="2" type="noConversion"/>
  </si>
  <si>
    <t>Listen</t>
  </si>
  <si>
    <t>DocumentRoot</t>
    <phoneticPr fontId="2" type="noConversion"/>
  </si>
  <si>
    <t>Timeout</t>
    <phoneticPr fontId="2" type="noConversion"/>
  </si>
  <si>
    <t>설치 권고 값</t>
    <phoneticPr fontId="2" type="noConversion"/>
  </si>
  <si>
    <t>요청(Program) 최대 처리시간 값보다 큰 수준에서 낮추는 것 권고. 단위는 초</t>
    <phoneticPr fontId="2" type="noConversion"/>
  </si>
  <si>
    <t>KeepAlive</t>
    <phoneticPr fontId="2" type="noConversion"/>
  </si>
  <si>
    <t>세션 연결 후 응답이 끝나도 일정시간동안 세션을 유지, Persistence connection의 지원여부</t>
    <phoneticPr fontId="2" type="noConversion"/>
  </si>
  <si>
    <t>KeepAliveTimeout</t>
    <phoneticPr fontId="2" type="noConversion"/>
  </si>
  <si>
    <t>지정된 시간동안 요청이 없으면 서버에서 연결을 끊어줌</t>
    <phoneticPr fontId="2" type="noConversion"/>
  </si>
  <si>
    <t>MaxKeepAliveRequests</t>
    <phoneticPr fontId="2" type="noConversion"/>
  </si>
  <si>
    <t>KeepAlive Time 동안 허용하는 최대 요청개수 지정</t>
    <phoneticPr fontId="2" type="noConversion"/>
  </si>
  <si>
    <t>worker MPM</t>
    <phoneticPr fontId="2" type="noConversion"/>
  </si>
  <si>
    <t>ServerLimit</t>
    <phoneticPr fontId="2" type="noConversion"/>
  </si>
  <si>
    <t>StartServers</t>
    <phoneticPr fontId="2" type="noConversion"/>
  </si>
  <si>
    <t>MinSpareThreads</t>
    <phoneticPr fontId="2" type="noConversion"/>
  </si>
  <si>
    <t>서버 Idle 시 MinSpareThreads와 MaxSpareThreads 사이에서 Thread의 수가 유지
MaxSpareThreads &gt;= Start Threads(StartServers * ThreadsPerChild) 수로 설정</t>
    <phoneticPr fontId="2" type="noConversion"/>
  </si>
  <si>
    <t>MaxSpareThreads</t>
  </si>
  <si>
    <t>ThreadsPerChild</t>
  </si>
  <si>
    <t>ThreadsPerChild &gt; 64 인 경우, MaxClients 설정 앞에 ThreadLimit 설정 필요</t>
    <phoneticPr fontId="2" type="noConversion"/>
  </si>
  <si>
    <t>SSL 설정</t>
    <phoneticPr fontId="2" type="noConversion"/>
  </si>
  <si>
    <t>LoadModule ssl_module</t>
    <phoneticPr fontId="2" type="noConversion"/>
  </si>
  <si>
    <t>/web/jws3/httpd/modules/mod_ssl.so</t>
  </si>
  <si>
    <t>include</t>
    <phoneticPr fontId="2" type="noConversion"/>
  </si>
  <si>
    <t>conf/ssl.conf</t>
    <phoneticPr fontId="2" type="noConversion"/>
  </si>
  <si>
    <t>보안</t>
    <phoneticPr fontId="2" type="noConversion"/>
  </si>
  <si>
    <t>ServerTokens</t>
    <phoneticPr fontId="2" type="noConversion"/>
  </si>
  <si>
    <t>Prod</t>
    <phoneticPr fontId="2" type="noConversion"/>
  </si>
  <si>
    <t>응답 헤더에 서버 웹 정보 제거</t>
    <phoneticPr fontId="2" type="noConversion"/>
  </si>
  <si>
    <t>로그</t>
    <phoneticPr fontId="2" type="noConversion"/>
  </si>
  <si>
    <t>LogFormat</t>
    <phoneticPr fontId="2" type="noConversion"/>
  </si>
  <si>
    <t>디지털채널 설치 표준
(보안팀 웹로그 생성기준)</t>
    <phoneticPr fontId="2" type="noConversion"/>
  </si>
  <si>
    <t xml:space="preserve">LogFormat "%h %l %u %t \"%r\" %&gt;s %b \"%{Referer}i\" \"%{User-Agent}i\" %I %O" combinedio
LogFormat "%h %l %u %t \"%r\" %&gt;s %b \"%{Referer}i\" \"%{User-Agent}i\"" combined
LogFormat "%h %l %u %t \"%r\" %&gt;s %b" common
LogFormat "%{Referer}i -&gt; %U" referer
LogFormat "%{User-agent}i" agent
</t>
    <phoneticPr fontId="2" type="noConversion"/>
  </si>
  <si>
    <t>CustomLog</t>
    <phoneticPr fontId="2" type="noConversion"/>
  </si>
  <si>
    <t>ErrorLog</t>
    <phoneticPr fontId="2" type="noConversion"/>
  </si>
  <si>
    <t>LogLevel</t>
    <phoneticPr fontId="2" type="noConversion"/>
  </si>
  <si>
    <t>warn</t>
    <phoneticPr fontId="2" type="noConversion"/>
  </si>
  <si>
    <t>ssl.conf
설정</t>
    <phoneticPr fontId="2" type="noConversion"/>
  </si>
  <si>
    <t>Listen</t>
    <phoneticPr fontId="2" type="noConversion"/>
  </si>
  <si>
    <t>JBoss EWS(인스턴스_PORT) 탭 중 web-https-port 컬럼 참조</t>
    <phoneticPr fontId="2" type="noConversion"/>
  </si>
  <si>
    <t>SSLProtocol</t>
    <phoneticPr fontId="2" type="noConversion"/>
  </si>
  <si>
    <t>all -SSLv2</t>
    <phoneticPr fontId="2" type="noConversion"/>
  </si>
  <si>
    <t>SSLCipherSuite</t>
    <phoneticPr fontId="2" type="noConversion"/>
  </si>
  <si>
    <t>ALL:!ADH:!EXPORT:!SSLv2:RC4+RSA:+HIGH:+MEDIUM:!LOW</t>
    <phoneticPr fontId="2" type="noConversion"/>
  </si>
  <si>
    <t>SSLWallet</t>
    <phoneticPr fontId="2" type="noConversion"/>
  </si>
  <si>
    <t>workers.properties</t>
    <phoneticPr fontId="2" type="noConversion"/>
  </si>
  <si>
    <t>JkWorkersFile</t>
    <phoneticPr fontId="2" type="noConversion"/>
  </si>
  <si>
    <r>
      <t>/web/jws3/domains/</t>
    </r>
    <r>
      <rPr>
        <b/>
        <sz val="11"/>
        <color rgb="FFFF0000"/>
        <rFont val="맑은 고딕"/>
        <family val="3"/>
        <charset val="129"/>
        <scheme val="minor"/>
      </rPr>
      <t>{도메인명}</t>
    </r>
    <r>
      <rPr>
        <sz val="11"/>
        <rFont val="맑은 고딕"/>
        <family val="3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{인스턴스명}</t>
    </r>
    <r>
      <rPr>
        <sz val="11"/>
        <rFont val="맑은 고딕"/>
        <family val="3"/>
        <charset val="129"/>
        <scheme val="minor"/>
      </rPr>
      <t>/conf/workers.properties</t>
    </r>
    <phoneticPr fontId="2" type="noConversion"/>
  </si>
  <si>
    <t>JkMountFile</t>
  </si>
  <si>
    <r>
      <t>/web/jws3/domains/</t>
    </r>
    <r>
      <rPr>
        <b/>
        <sz val="11"/>
        <color rgb="FFFF0000"/>
        <rFont val="맑은 고딕"/>
        <family val="3"/>
        <charset val="129"/>
        <scheme val="minor"/>
      </rPr>
      <t>{도메인명}</t>
    </r>
    <r>
      <rPr>
        <sz val="11"/>
        <rFont val="맑은 고딕"/>
        <family val="3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{인스턴스명}</t>
    </r>
    <r>
      <rPr>
        <sz val="11"/>
        <rFont val="맑은 고딕"/>
        <family val="3"/>
        <charset val="129"/>
        <scheme val="minor"/>
      </rPr>
      <t>/conf/uriworkermap.properties</t>
    </r>
    <phoneticPr fontId="2" type="noConversion"/>
  </si>
  <si>
    <t>JkLogLevel</t>
    <phoneticPr fontId="2" type="noConversion"/>
  </si>
  <si>
    <t>error</t>
    <phoneticPr fontId="2" type="noConversion"/>
  </si>
  <si>
    <t>JkLogStampFormat</t>
    <phoneticPr fontId="2" type="noConversion"/>
  </si>
  <si>
    <t xml:space="preserve">[%a %b %d %H:%M:%S %Y] </t>
  </si>
  <si>
    <t>JkOptions</t>
  </si>
  <si>
    <t>ForwardKeySize +ForwardURICompatUnparsed -ForwardDirectories +ForwardPhysicalAddress +ForwardURIProxy</t>
    <phoneticPr fontId="2" type="noConversion"/>
  </si>
  <si>
    <t>JKRequestLogFormat</t>
  </si>
  <si>
    <t>%w %R %V %T %U %s</t>
  </si>
  <si>
    <t>workers.properties</t>
  </si>
  <si>
    <t>worker.template.type</t>
  </si>
  <si>
    <t>ajp13</t>
  </si>
  <si>
    <t>worker.template.lbfactor</t>
  </si>
  <si>
    <t>worker.template.maintain</t>
  </si>
  <si>
    <t>worker.template.socket_keepalive</t>
  </si>
  <si>
    <t>worker.template.socket_connect_timeout</t>
  </si>
  <si>
    <t>worker.template.connection_pool_timeout</t>
  </si>
  <si>
    <t>worker.template.connection_pool_size</t>
  </si>
  <si>
    <t>어플리케이션 Package가 위치한 홈</t>
    <phoneticPr fontId="2" type="noConversion"/>
  </si>
  <si>
    <t>어플리케이션에서 남기는 로그</t>
    <phoneticPr fontId="2" type="noConversion"/>
  </si>
  <si>
    <t>- PISA 권고안은 min, max값 동일</t>
    <phoneticPr fontId="2" type="noConversion"/>
  </si>
  <si>
    <t>ex)pitcwb0a_web_P-MS71-O-F11-access_log.20170531 (로테이션)</t>
    <phoneticPr fontId="2" type="noConversion"/>
  </si>
  <si>
    <t>ex)pitcwb0a_web_P-MS71-O-F11-error_log.20170531 (로테이션)</t>
    <phoneticPr fontId="2" type="noConversion"/>
  </si>
  <si>
    <t>SV1</t>
    <phoneticPr fontId="2" type="noConversion"/>
  </si>
  <si>
    <r>
      <t>/</t>
    </r>
    <r>
      <rPr>
        <b/>
        <sz val="11"/>
        <color rgb="FFFF0000"/>
        <rFont val="맑은 고딕"/>
        <family val="3"/>
        <charset val="129"/>
        <scheme val="minor"/>
      </rPr>
      <t>{시스템코드}</t>
    </r>
    <r>
      <rPr>
        <sz val="11"/>
        <rFont val="맑은 고딕"/>
        <family val="3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{도메인코드}</t>
    </r>
    <r>
      <rPr>
        <sz val="11"/>
        <rFont val="맑은 고딕"/>
        <family val="3"/>
        <charset val="129"/>
        <scheme val="minor"/>
      </rPr>
      <t>/webApp/</t>
    </r>
    <phoneticPr fontId="2" type="noConversion"/>
  </si>
  <si>
    <r>
      <t>CustomLog  /log/jws3/</t>
    </r>
    <r>
      <rPr>
        <b/>
        <sz val="11"/>
        <color rgb="FFFF0000"/>
        <rFont val="맑은 고딕"/>
        <family val="3"/>
        <charset val="129"/>
        <scheme val="minor"/>
      </rPr>
      <t>{도메인명}</t>
    </r>
    <r>
      <rPr>
        <sz val="11"/>
        <rFont val="맑은 고딕"/>
        <family val="3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{인스턴스명}</t>
    </r>
    <r>
      <rPr>
        <sz val="11"/>
        <rFont val="맑은 고딕"/>
        <family val="3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{서버명}</t>
    </r>
    <r>
      <rPr>
        <sz val="11"/>
        <rFont val="맑은 고딕"/>
        <family val="3"/>
        <charset val="129"/>
        <scheme val="minor"/>
      </rPr>
      <t>_web_</t>
    </r>
    <r>
      <rPr>
        <b/>
        <sz val="11"/>
        <color rgb="FFFF0000"/>
        <rFont val="맑은 고딕"/>
        <family val="3"/>
        <charset val="129"/>
        <scheme val="minor"/>
      </rPr>
      <t>{인스턴스명}</t>
    </r>
    <r>
      <rPr>
        <sz val="11"/>
        <rFont val="맑은 고딕"/>
        <family val="3"/>
        <charset val="129"/>
        <scheme val="minor"/>
      </rPr>
      <t>-access.log.%Y%m%d 86400" combined env=!do_not_log</t>
    </r>
    <phoneticPr fontId="2" type="noConversion"/>
  </si>
  <si>
    <r>
      <t>ErrorLog  /log/jws3/</t>
    </r>
    <r>
      <rPr>
        <b/>
        <sz val="11"/>
        <color rgb="FFFF0000"/>
        <rFont val="맑은 고딕"/>
        <family val="3"/>
        <charset val="129"/>
        <scheme val="minor"/>
      </rPr>
      <t>{도메인명}/{인스턴스명}/{서버명}</t>
    </r>
    <r>
      <rPr>
        <sz val="11"/>
        <rFont val="맑은 고딕"/>
        <family val="3"/>
        <charset val="129"/>
        <scheme val="minor"/>
      </rPr>
      <t>_web_</t>
    </r>
    <r>
      <rPr>
        <b/>
        <sz val="11"/>
        <color rgb="FFFF0000"/>
        <rFont val="맑은 고딕"/>
        <family val="3"/>
        <charset val="129"/>
        <scheme val="minor"/>
      </rPr>
      <t>{인스턴스명}</t>
    </r>
    <r>
      <rPr>
        <sz val="11"/>
        <rFont val="맑은 고딕"/>
        <family val="3"/>
        <charset val="129"/>
        <scheme val="minor"/>
      </rPr>
      <t>-error.log.%Y%m%d 86400"</t>
    </r>
    <phoneticPr fontId="2" type="noConversion"/>
  </si>
  <si>
    <t>관리자 업무 및 Front 업무 외 용도</t>
    <phoneticPr fontId="0" type="Hiragana"/>
  </si>
  <si>
    <t>설치여부
(2017/05/31기준)</t>
    <phoneticPr fontId="2" type="noConversion"/>
  </si>
  <si>
    <t>O</t>
    <phoneticPr fontId="2" type="noConversion"/>
  </si>
  <si>
    <t>O</t>
    <phoneticPr fontId="2" type="noConversion"/>
  </si>
  <si>
    <t>N/A</t>
    <phoneticPr fontId="2" type="noConversion"/>
  </si>
  <si>
    <t>X</t>
    <phoneticPr fontId="2" type="noConversion"/>
  </si>
  <si>
    <t>MaxConnectionsPerChild</t>
  </si>
  <si>
    <t>on</t>
    <phoneticPr fontId="2" type="noConversion"/>
  </si>
  <si>
    <r>
      <t>/log/jws3/</t>
    </r>
    <r>
      <rPr>
        <b/>
        <sz val="11"/>
        <color rgb="FFFF0000"/>
        <rFont val="맑은 고딕"/>
        <family val="3"/>
        <charset val="129"/>
        <scheme val="minor"/>
      </rPr>
      <t>{도메인명}</t>
    </r>
    <r>
      <rPr>
        <sz val="11"/>
        <rFont val="맑은 고딕"/>
        <family val="3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{인스턴스명}</t>
    </r>
    <r>
      <rPr>
        <sz val="11"/>
        <rFont val="맑은 고딕"/>
        <family val="3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{호스트명}</t>
    </r>
    <r>
      <rPr>
        <sz val="11"/>
        <rFont val="맑은 고딕"/>
        <family val="3"/>
        <charset val="129"/>
        <scheme val="minor"/>
      </rPr>
      <t>_web_</t>
    </r>
    <r>
      <rPr>
        <b/>
        <sz val="11"/>
        <color rgb="FFFF0000"/>
        <rFont val="맑은 고딕"/>
        <family val="3"/>
        <charset val="129"/>
        <scheme val="minor"/>
      </rPr>
      <t>{인스턴스명}</t>
    </r>
    <r>
      <rPr>
        <sz val="11"/>
        <rFont val="맑은 고딕"/>
        <family val="3"/>
        <charset val="129"/>
        <scheme val="minor"/>
      </rPr>
      <t>-access_log.%y%m%d</t>
    </r>
    <phoneticPr fontId="2" type="noConversion"/>
  </si>
  <si>
    <r>
      <t>/log/jws3/</t>
    </r>
    <r>
      <rPr>
        <b/>
        <sz val="11"/>
        <color rgb="FFFF0000"/>
        <rFont val="맑은 고딕"/>
        <family val="3"/>
        <charset val="129"/>
        <scheme val="minor"/>
      </rPr>
      <t>{도메인명}</t>
    </r>
    <r>
      <rPr>
        <sz val="11"/>
        <rFont val="맑은 고딕"/>
        <family val="3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{인스턴스명}</t>
    </r>
    <r>
      <rPr>
        <sz val="11"/>
        <rFont val="맑은 고딕"/>
        <family val="3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{호스트명}</t>
    </r>
    <r>
      <rPr>
        <sz val="11"/>
        <rFont val="맑은 고딕"/>
        <family val="3"/>
        <charset val="129"/>
        <scheme val="minor"/>
      </rPr>
      <t>_web_</t>
    </r>
    <r>
      <rPr>
        <b/>
        <sz val="11"/>
        <color rgb="FFFF0000"/>
        <rFont val="맑은 고딕"/>
        <family val="3"/>
        <charset val="129"/>
        <scheme val="minor"/>
      </rPr>
      <t>{인스턴스명}</t>
    </r>
    <r>
      <rPr>
        <sz val="11"/>
        <rFont val="맑은 고딕"/>
        <family val="3"/>
        <charset val="129"/>
        <scheme val="minor"/>
      </rPr>
      <t>-error_log.%y%m%d</t>
    </r>
    <phoneticPr fontId="2" type="noConversion"/>
  </si>
  <si>
    <r>
      <t>/log/jboss7/$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theme="1"/>
        <rFont val="맑은 고딕"/>
        <family val="3"/>
        <charset val="129"/>
        <scheme val="minor"/>
      </rPr>
      <t>/</t>
    </r>
    <r>
      <rPr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/heaplog/</t>
    </r>
    <phoneticPr fontId="2" type="noConversion"/>
  </si>
  <si>
    <r>
      <t>/was/jboss7/domains/</t>
    </r>
    <r>
      <rPr>
        <b/>
        <sz val="10"/>
        <color rgb="FFFF0000"/>
        <rFont val="맑은 고딕"/>
        <family val="3"/>
        <charset val="129"/>
        <scheme val="minor"/>
      </rPr>
      <t>{도메인명}</t>
    </r>
    <r>
      <rPr>
        <sz val="10"/>
        <color theme="1"/>
        <rFont val="맑은 고딕"/>
        <family val="3"/>
        <charset val="129"/>
        <scheme val="minor"/>
      </rPr>
      <t>/</t>
    </r>
    <r>
      <rPr>
        <b/>
        <sz val="10"/>
        <color rgb="FFFF0000"/>
        <rFont val="맑은 고딕"/>
        <family val="3"/>
        <charset val="129"/>
        <scheme val="minor"/>
      </rPr>
      <t>{인스턴스명}</t>
    </r>
    <r>
      <rPr>
        <sz val="10"/>
        <color theme="1"/>
        <rFont val="맑은 고딕"/>
        <family val="3"/>
        <charset val="129"/>
        <scheme val="minor"/>
      </rPr>
      <t>/bin/dump.sh 실행. Nohup로그에 같이 쌓임</t>
    </r>
    <phoneticPr fontId="2" type="noConversion"/>
  </si>
  <si>
    <t>min-pool-size=20
max-pool-size=20</t>
    <phoneticPr fontId="0" type="Hiragana"/>
  </si>
  <si>
    <t>DB Pool 개수는 최소값(min) 20, 최대값(max) 20로 설정</t>
    <phoneticPr fontId="0" type="Hiragana"/>
  </si>
  <si>
    <t>웹서버에서 로깅이 가능하므로 와스에서 access log는 불필요</t>
    <phoneticPr fontId="2" type="noConversion"/>
  </si>
  <si>
    <t>start.sh 스크립트 mv ${LOG_DIR}/$SERVER_NAME.out ${LOG_DIR}/$SERVER_NAME.out.$DATE</t>
    <phoneticPr fontId="2" type="noConversion"/>
  </si>
  <si>
    <r>
      <t xml:space="preserve">Oracle Hotspot JDK 1.8 최신 버전
 - /usr/jdk/instances/jdk1.8.0_121 </t>
    </r>
    <r>
      <rPr>
        <sz val="10"/>
        <color theme="1"/>
        <rFont val="맑은 고딕"/>
        <family val="3"/>
        <charset val="129"/>
      </rPr>
      <t>→ 'java version "1.8.0_121"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</si>
</sst>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0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10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trike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theme="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/>
      <diagonal/>
    </border>
    <border>
      <left style="thin">
        <color indexed="64"/>
      </left>
      <right style="thick">
        <color rgb="FF0070C0"/>
      </right>
      <top/>
      <bottom/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medium">
        <color theme="5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</cellStyleXfs>
  <cellXfs count="352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4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horizontal="left"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7" fillId="10" borderId="2" xfId="0" applyFont="1" applyFill="1" applyBorder="1">
      <alignment vertical="center"/>
    </xf>
    <xf numFmtId="0" fontId="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 readingOrder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 readingOrder="1"/>
    </xf>
    <xf numFmtId="0" fontId="15" fillId="0" borderId="2" xfId="0" quotePrefix="1" applyFont="1" applyBorder="1" applyAlignment="1">
      <alignment horizontal="left" vertical="center" wrapText="1" readingOrder="1"/>
    </xf>
    <xf numFmtId="0" fontId="15" fillId="0" borderId="2" xfId="0" quotePrefix="1" applyFont="1" applyFill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left" vertical="center" wrapText="1"/>
    </xf>
    <xf numFmtId="0" fontId="4" fillId="13" borderId="2" xfId="0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41" fontId="6" fillId="6" borderId="2" xfId="1" applyFont="1" applyFill="1" applyBorder="1" applyAlignment="1">
      <alignment horizontal="center" vertical="center"/>
    </xf>
    <xf numFmtId="0" fontId="4" fillId="10" borderId="2" xfId="0" quotePrefix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41" fontId="11" fillId="12" borderId="2" xfId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13" borderId="2" xfId="0" quotePrefix="1" applyFont="1" applyFill="1" applyBorder="1" applyAlignment="1">
      <alignment horizontal="center" vertical="center"/>
    </xf>
    <xf numFmtId="0" fontId="5" fillId="13" borderId="2" xfId="0" applyFont="1" applyFill="1" applyBorder="1">
      <alignment vertical="center"/>
    </xf>
    <xf numFmtId="0" fontId="18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Fill="1" applyBorder="1">
      <alignment vertical="center"/>
    </xf>
    <xf numFmtId="0" fontId="4" fillId="10" borderId="2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9" fillId="0" borderId="2" xfId="0" applyFont="1" applyBorder="1" applyAlignment="1">
      <alignment horizontal="center" vertical="center" wrapText="1" readingOrder="1"/>
    </xf>
    <xf numFmtId="49" fontId="0" fillId="0" borderId="2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>
      <alignment vertical="center"/>
    </xf>
    <xf numFmtId="0" fontId="5" fillId="0" borderId="3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4" fillId="1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11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>
      <alignment vertical="center"/>
    </xf>
    <xf numFmtId="0" fontId="8" fillId="10" borderId="4" xfId="0" applyFont="1" applyFill="1" applyBorder="1" applyAlignment="1">
      <alignment horizontal="left" vertical="center"/>
    </xf>
    <xf numFmtId="0" fontId="4" fillId="10" borderId="4" xfId="0" applyFont="1" applyFill="1" applyBorder="1" applyAlignment="1">
      <alignment horizontal="left" vertical="center"/>
    </xf>
    <xf numFmtId="0" fontId="4" fillId="10" borderId="4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8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>
      <alignment vertical="center"/>
    </xf>
    <xf numFmtId="0" fontId="8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11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>
      <alignment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>
      <alignment vertical="center"/>
    </xf>
    <xf numFmtId="0" fontId="4" fillId="10" borderId="4" xfId="0" quotePrefix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2" xfId="0" quotePrefix="1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4" fillId="17" borderId="2" xfId="0" applyFont="1" applyFill="1" applyBorder="1">
      <alignment vertical="center"/>
    </xf>
    <xf numFmtId="0" fontId="4" fillId="17" borderId="3" xfId="0" applyFont="1" applyFill="1" applyBorder="1">
      <alignment vertical="center"/>
    </xf>
    <xf numFmtId="0" fontId="4" fillId="17" borderId="9" xfId="0" applyFont="1" applyFill="1" applyBorder="1">
      <alignment vertical="center"/>
    </xf>
    <xf numFmtId="0" fontId="4" fillId="17" borderId="14" xfId="0" applyFont="1" applyFill="1" applyBorder="1">
      <alignment vertical="center"/>
    </xf>
    <xf numFmtId="0" fontId="4" fillId="17" borderId="4" xfId="0" applyFont="1" applyFill="1" applyBorder="1">
      <alignment vertical="center"/>
    </xf>
    <xf numFmtId="0" fontId="4" fillId="17" borderId="2" xfId="0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14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/>
    </xf>
    <xf numFmtId="0" fontId="4" fillId="19" borderId="3" xfId="0" applyFont="1" applyFill="1" applyBorder="1" applyAlignment="1">
      <alignment horizontal="center" vertical="center"/>
    </xf>
    <xf numFmtId="0" fontId="4" fillId="19" borderId="9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0" xfId="0" quotePrefix="1" applyFont="1">
      <alignment vertical="center"/>
    </xf>
    <xf numFmtId="0" fontId="4" fillId="0" borderId="4" xfId="0" applyFont="1" applyBorder="1">
      <alignment vertical="center"/>
    </xf>
    <xf numFmtId="0" fontId="7" fillId="10" borderId="4" xfId="0" applyFont="1" applyFill="1" applyBorder="1">
      <alignment vertical="center"/>
    </xf>
    <xf numFmtId="0" fontId="4" fillId="0" borderId="4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center" vertical="center"/>
    </xf>
    <xf numFmtId="0" fontId="4" fillId="18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10" borderId="20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20" xfId="0" applyFont="1" applyBorder="1">
      <alignment vertical="center"/>
    </xf>
    <xf numFmtId="0" fontId="4" fillId="10" borderId="7" xfId="0" applyFont="1" applyFill="1" applyBorder="1">
      <alignment vertical="center"/>
    </xf>
    <xf numFmtId="0" fontId="4" fillId="0" borderId="27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10" borderId="26" xfId="0" applyFont="1" applyFill="1" applyBorder="1">
      <alignment vertical="center"/>
    </xf>
    <xf numFmtId="0" fontId="4" fillId="0" borderId="28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10" borderId="27" xfId="0" applyFont="1" applyFill="1" applyBorder="1">
      <alignment vertical="center"/>
    </xf>
    <xf numFmtId="0" fontId="4" fillId="19" borderId="20" xfId="0" applyFont="1" applyFill="1" applyBorder="1">
      <alignment vertical="center"/>
    </xf>
    <xf numFmtId="0" fontId="4" fillId="19" borderId="7" xfId="0" applyFont="1" applyFill="1" applyBorder="1">
      <alignment vertical="center"/>
    </xf>
    <xf numFmtId="0" fontId="4" fillId="20" borderId="7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14" xfId="0" applyFont="1" applyFill="1" applyBorder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0" fillId="0" borderId="2" xfId="0" applyFont="1" applyBorder="1" applyAlignment="1">
      <alignment vertical="center"/>
    </xf>
    <xf numFmtId="0" fontId="20" fillId="0" borderId="2" xfId="0" applyFont="1" applyFill="1" applyBorder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 readingOrder="1"/>
    </xf>
    <xf numFmtId="0" fontId="12" fillId="3" borderId="0" xfId="0" applyFont="1" applyFill="1">
      <alignment vertical="center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horizontal="left" vertical="center"/>
    </xf>
    <xf numFmtId="0" fontId="24" fillId="10" borderId="2" xfId="0" applyFont="1" applyFill="1" applyBorder="1" applyAlignment="1">
      <alignment vertical="center"/>
    </xf>
    <xf numFmtId="0" fontId="24" fillId="10" borderId="2" xfId="0" quotePrefix="1" applyFont="1" applyFill="1" applyBorder="1" applyAlignment="1">
      <alignment horizontal="left" vertical="center"/>
    </xf>
    <xf numFmtId="0" fontId="0" fillId="0" borderId="0" xfId="0" quotePrefix="1">
      <alignment vertical="center"/>
    </xf>
    <xf numFmtId="0" fontId="15" fillId="0" borderId="0" xfId="0" quotePrefix="1" applyFont="1" applyFill="1" applyBorder="1" applyAlignment="1">
      <alignment horizontal="left" vertical="center" wrapText="1" readingOrder="1"/>
    </xf>
    <xf numFmtId="0" fontId="25" fillId="2" borderId="2" xfId="0" applyFont="1" applyFill="1" applyBorder="1" applyAlignment="1">
      <alignment horizontal="center" vertical="center"/>
    </xf>
    <xf numFmtId="0" fontId="24" fillId="0" borderId="2" xfId="0" quotePrefix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>
      <alignment vertical="center"/>
    </xf>
    <xf numFmtId="0" fontId="12" fillId="0" borderId="2" xfId="0" quotePrefix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left" vertical="center" wrapText="1"/>
    </xf>
    <xf numFmtId="0" fontId="12" fillId="0" borderId="2" xfId="0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quotePrefix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24" fillId="10" borderId="2" xfId="0" applyFont="1" applyFill="1" applyBorder="1">
      <alignment vertical="center"/>
    </xf>
    <xf numFmtId="0" fontId="0" fillId="0" borderId="2" xfId="0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8" fillId="21" borderId="2" xfId="0" applyFont="1" applyFill="1" applyBorder="1" applyAlignment="1">
      <alignment horizontal="left" vertical="center"/>
    </xf>
    <xf numFmtId="0" fontId="8" fillId="22" borderId="2" xfId="0" applyFont="1" applyFill="1" applyBorder="1" applyAlignment="1">
      <alignment horizontal="left" vertical="center"/>
    </xf>
    <xf numFmtId="0" fontId="8" fillId="22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2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quotePrefix="1" applyFill="1" applyBorder="1" applyAlignment="1">
      <alignment vertical="center"/>
    </xf>
    <xf numFmtId="0" fontId="0" fillId="0" borderId="7" xfId="0" quotePrefix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1" fontId="6" fillId="7" borderId="5" xfId="1" applyFont="1" applyFill="1" applyBorder="1" applyAlignment="1">
      <alignment horizontal="center" vertical="center"/>
    </xf>
    <xf numFmtId="41" fontId="6" fillId="7" borderId="6" xfId="1" applyFont="1" applyFill="1" applyBorder="1" applyAlignment="1">
      <alignment horizontal="center" vertical="center"/>
    </xf>
    <xf numFmtId="41" fontId="6" fillId="8" borderId="5" xfId="1" applyFont="1" applyFill="1" applyBorder="1" applyAlignment="1">
      <alignment horizontal="center" vertical="center"/>
    </xf>
    <xf numFmtId="41" fontId="6" fillId="8" borderId="6" xfId="1" applyFont="1" applyFill="1" applyBorder="1" applyAlignment="1">
      <alignment horizontal="center" vertical="center"/>
    </xf>
    <xf numFmtId="41" fontId="6" fillId="9" borderId="5" xfId="1" applyFont="1" applyFill="1" applyBorder="1" applyAlignment="1">
      <alignment horizontal="center" vertical="center"/>
    </xf>
    <xf numFmtId="41" fontId="6" fillId="9" borderId="6" xfId="1" applyFont="1" applyFill="1" applyBorder="1" applyAlignment="1">
      <alignment horizontal="center" vertical="center"/>
    </xf>
    <xf numFmtId="41" fontId="6" fillId="4" borderId="5" xfId="1" applyFont="1" applyFill="1" applyBorder="1" applyAlignment="1">
      <alignment horizontal="center" vertical="center"/>
    </xf>
    <xf numFmtId="41" fontId="6" fillId="4" borderId="6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9" fillId="14" borderId="2" xfId="0" applyFont="1" applyFill="1" applyBorder="1" applyAlignment="1">
      <alignment horizontal="center" vertical="center" wrapText="1" readingOrder="1"/>
    </xf>
    <xf numFmtId="0" fontId="19" fillId="15" borderId="3" xfId="0" applyFont="1" applyFill="1" applyBorder="1" applyAlignment="1">
      <alignment horizontal="center" vertical="center" wrapText="1" readingOrder="1"/>
    </xf>
    <xf numFmtId="0" fontId="19" fillId="15" borderId="1" xfId="0" applyFont="1" applyFill="1" applyBorder="1" applyAlignment="1">
      <alignment horizontal="center" vertical="center" wrapText="1" readingOrder="1"/>
    </xf>
    <xf numFmtId="0" fontId="19" fillId="15" borderId="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/>
    </xf>
    <xf numFmtId="0" fontId="19" fillId="14" borderId="3" xfId="0" applyFont="1" applyFill="1" applyBorder="1" applyAlignment="1">
      <alignment horizontal="center" vertical="center" wrapText="1" readingOrder="1"/>
    </xf>
    <xf numFmtId="0" fontId="19" fillId="14" borderId="1" xfId="0" applyFont="1" applyFill="1" applyBorder="1" applyAlignment="1">
      <alignment horizontal="center" vertical="center" wrapText="1" readingOrder="1"/>
    </xf>
    <xf numFmtId="0" fontId="19" fillId="14" borderId="4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4" xfId="0" applyFont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 readingOrder="1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5">
    <cellStyle name="쉼표 [0]" xfId="1" builtinId="6"/>
    <cellStyle name="표준" xfId="0" builtinId="0"/>
    <cellStyle name="표준 146" xfId="3"/>
    <cellStyle name="표준 2" xfId="4"/>
    <cellStyle name="표준 63" xfId="2"/>
  </cellStyles>
  <dxfs count="0"/>
  <tableStyles count="0" defaultTableStyle="TableStyleMedium2" defaultPivotStyle="PivotStyleLight16"/>
  <colors>
    <mruColors>
      <color rgb="FF000000"/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45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1" sqref="D31"/>
    </sheetView>
  </sheetViews>
  <sheetFormatPr defaultRowHeight="16.5" x14ac:dyDescent="0.3"/>
  <cols>
    <col min="1" max="1" width="8.75" bestFit="1" customWidth="1"/>
    <col min="2" max="2" width="13.5" customWidth="1"/>
    <col min="3" max="3" width="38.75" bestFit="1" customWidth="1"/>
    <col min="4" max="4" width="68" customWidth="1"/>
    <col min="5" max="5" width="17.875" style="11" bestFit="1" customWidth="1"/>
    <col min="6" max="6" width="22.75" style="11" bestFit="1" customWidth="1"/>
    <col min="7" max="7" width="64.875" customWidth="1"/>
    <col min="8" max="8" width="76.75" customWidth="1"/>
  </cols>
  <sheetData>
    <row r="2" spans="1:8" ht="27" customHeight="1" x14ac:dyDescent="0.3">
      <c r="A2" s="208" t="s">
        <v>485</v>
      </c>
      <c r="B2" s="208" t="s">
        <v>486</v>
      </c>
      <c r="C2" s="208" t="s">
        <v>53</v>
      </c>
      <c r="D2" s="208" t="s">
        <v>29</v>
      </c>
      <c r="E2" s="208" t="s">
        <v>487</v>
      </c>
      <c r="F2" s="208" t="s">
        <v>488</v>
      </c>
      <c r="G2" s="208" t="s">
        <v>489</v>
      </c>
      <c r="H2" s="208" t="s">
        <v>9</v>
      </c>
    </row>
    <row r="3" spans="1:8" ht="16.5" customHeight="1" x14ac:dyDescent="0.3">
      <c r="A3" s="265" t="s">
        <v>490</v>
      </c>
      <c r="B3" s="263" t="s">
        <v>491</v>
      </c>
      <c r="C3" s="24" t="s">
        <v>492</v>
      </c>
      <c r="D3" s="27"/>
      <c r="E3" s="210"/>
      <c r="F3" s="210"/>
      <c r="G3" s="211" t="s">
        <v>493</v>
      </c>
      <c r="H3" s="27"/>
    </row>
    <row r="4" spans="1:8" x14ac:dyDescent="0.3">
      <c r="A4" s="266"/>
      <c r="B4" s="263"/>
      <c r="C4" s="24" t="s">
        <v>494</v>
      </c>
      <c r="D4" s="27"/>
      <c r="E4" s="210"/>
      <c r="F4" s="210"/>
      <c r="G4" s="27" t="s">
        <v>495</v>
      </c>
      <c r="H4" s="27"/>
    </row>
    <row r="5" spans="1:8" x14ac:dyDescent="0.3">
      <c r="A5" s="266"/>
      <c r="B5" s="263"/>
      <c r="C5" s="24" t="s">
        <v>496</v>
      </c>
      <c r="D5" s="27" t="s">
        <v>497</v>
      </c>
      <c r="E5" s="210"/>
      <c r="F5" s="210" t="s">
        <v>497</v>
      </c>
      <c r="G5" s="27" t="s">
        <v>498</v>
      </c>
      <c r="H5" s="27"/>
    </row>
    <row r="6" spans="1:8" x14ac:dyDescent="0.3">
      <c r="A6" s="266"/>
      <c r="B6" s="263"/>
      <c r="C6" s="24" t="s">
        <v>499</v>
      </c>
      <c r="D6" s="27" t="s">
        <v>500</v>
      </c>
      <c r="E6" s="210"/>
      <c r="F6" s="212" t="s">
        <v>501</v>
      </c>
      <c r="G6" s="27" t="s">
        <v>500</v>
      </c>
      <c r="H6" s="27"/>
    </row>
    <row r="7" spans="1:8" x14ac:dyDescent="0.3">
      <c r="A7" s="266"/>
      <c r="B7" s="263"/>
      <c r="C7" s="24" t="s">
        <v>502</v>
      </c>
      <c r="D7" s="27" t="s">
        <v>503</v>
      </c>
      <c r="E7" s="210"/>
      <c r="F7" s="212" t="s">
        <v>501</v>
      </c>
      <c r="G7" s="27" t="s">
        <v>503</v>
      </c>
      <c r="H7" s="27"/>
    </row>
    <row r="8" spans="1:8" ht="27" x14ac:dyDescent="0.3">
      <c r="A8" s="266"/>
      <c r="B8" s="263"/>
      <c r="C8" s="24" t="s">
        <v>504</v>
      </c>
      <c r="D8" s="27" t="s">
        <v>713</v>
      </c>
      <c r="E8" s="210"/>
      <c r="F8" s="212" t="s">
        <v>501</v>
      </c>
      <c r="G8" s="27" t="s">
        <v>505</v>
      </c>
      <c r="H8" s="27"/>
    </row>
    <row r="9" spans="1:8" x14ac:dyDescent="0.3">
      <c r="A9" s="266"/>
      <c r="B9" s="263"/>
      <c r="C9" s="24" t="s">
        <v>506</v>
      </c>
      <c r="D9" s="27" t="s">
        <v>688</v>
      </c>
      <c r="E9" s="210"/>
      <c r="F9" s="212" t="s">
        <v>501</v>
      </c>
      <c r="G9" s="213" t="s">
        <v>507</v>
      </c>
      <c r="H9" s="27" t="s">
        <v>508</v>
      </c>
    </row>
    <row r="10" spans="1:8" x14ac:dyDescent="0.3">
      <c r="A10" s="266"/>
      <c r="B10" s="268" t="s">
        <v>509</v>
      </c>
      <c r="C10" s="214" t="s">
        <v>510</v>
      </c>
      <c r="D10" s="214" t="s">
        <v>510</v>
      </c>
      <c r="E10" s="215"/>
      <c r="F10" s="212" t="s">
        <v>501</v>
      </c>
      <c r="G10" s="214" t="s">
        <v>511</v>
      </c>
      <c r="H10" s="27" t="s">
        <v>712</v>
      </c>
    </row>
    <row r="11" spans="1:8" x14ac:dyDescent="0.3">
      <c r="A11" s="266"/>
      <c r="B11" s="268"/>
      <c r="C11" s="214" t="s">
        <v>512</v>
      </c>
      <c r="D11" s="214" t="s">
        <v>512</v>
      </c>
      <c r="E11" s="215"/>
      <c r="F11" s="212" t="s">
        <v>501</v>
      </c>
      <c r="G11" s="214" t="s">
        <v>513</v>
      </c>
      <c r="H11" s="27" t="s">
        <v>514</v>
      </c>
    </row>
    <row r="12" spans="1:8" x14ac:dyDescent="0.3">
      <c r="A12" s="266"/>
      <c r="B12" s="268"/>
      <c r="C12" s="20" t="s">
        <v>515</v>
      </c>
      <c r="D12" s="20" t="s">
        <v>515</v>
      </c>
      <c r="E12" s="216"/>
      <c r="F12" s="212" t="s">
        <v>501</v>
      </c>
      <c r="G12" s="20" t="s">
        <v>516</v>
      </c>
      <c r="H12" s="27" t="s">
        <v>517</v>
      </c>
    </row>
    <row r="13" spans="1:8" s="220" customFormat="1" x14ac:dyDescent="0.3">
      <c r="A13" s="266"/>
      <c r="B13" s="268"/>
      <c r="C13" s="217" t="s">
        <v>518</v>
      </c>
      <c r="D13" s="217" t="s">
        <v>518</v>
      </c>
      <c r="E13" s="218"/>
      <c r="F13" s="212" t="s">
        <v>519</v>
      </c>
      <c r="G13" s="217"/>
      <c r="H13" s="219" t="s">
        <v>711</v>
      </c>
    </row>
    <row r="14" spans="1:8" x14ac:dyDescent="0.3">
      <c r="A14" s="266"/>
      <c r="B14" s="268"/>
      <c r="C14" s="221" t="s">
        <v>520</v>
      </c>
      <c r="D14" s="222" t="s">
        <v>689</v>
      </c>
      <c r="E14" s="223"/>
      <c r="F14" s="212" t="s">
        <v>519</v>
      </c>
      <c r="G14" s="221" t="s">
        <v>521</v>
      </c>
      <c r="H14" s="222"/>
    </row>
    <row r="15" spans="1:8" x14ac:dyDescent="0.3">
      <c r="A15" s="266"/>
      <c r="B15" s="268"/>
      <c r="C15" s="221" t="s">
        <v>522</v>
      </c>
      <c r="D15" s="222" t="s">
        <v>523</v>
      </c>
      <c r="E15" s="223"/>
      <c r="F15" s="212" t="s">
        <v>519</v>
      </c>
      <c r="G15" s="221" t="s">
        <v>524</v>
      </c>
      <c r="H15" s="222"/>
    </row>
    <row r="16" spans="1:8" x14ac:dyDescent="0.3">
      <c r="A16" s="266"/>
      <c r="B16" s="268"/>
      <c r="C16" s="221" t="s">
        <v>525</v>
      </c>
      <c r="D16" s="222" t="s">
        <v>526</v>
      </c>
      <c r="E16" s="223"/>
      <c r="F16" s="212" t="s">
        <v>519</v>
      </c>
      <c r="G16" s="221" t="s">
        <v>527</v>
      </c>
      <c r="H16" s="222"/>
    </row>
    <row r="17" spans="1:8" x14ac:dyDescent="0.3">
      <c r="A17" s="266"/>
      <c r="B17" s="269" t="s">
        <v>528</v>
      </c>
      <c r="C17" s="214" t="s">
        <v>529</v>
      </c>
      <c r="D17" s="214" t="s">
        <v>529</v>
      </c>
      <c r="E17" s="215"/>
      <c r="F17" s="212" t="s">
        <v>519</v>
      </c>
      <c r="G17" s="20" t="s">
        <v>707</v>
      </c>
      <c r="H17" s="27"/>
    </row>
    <row r="18" spans="1:8" ht="27" x14ac:dyDescent="0.3">
      <c r="A18" s="266"/>
      <c r="B18" s="269"/>
      <c r="C18" s="22" t="s">
        <v>531</v>
      </c>
      <c r="D18" s="22" t="s">
        <v>530</v>
      </c>
      <c r="E18" s="224"/>
      <c r="F18" s="212" t="s">
        <v>519</v>
      </c>
      <c r="G18" s="23" t="s">
        <v>708</v>
      </c>
      <c r="H18" s="22"/>
    </row>
    <row r="19" spans="1:8" x14ac:dyDescent="0.3">
      <c r="A19" s="266"/>
      <c r="B19" s="269"/>
      <c r="C19" s="22" t="s">
        <v>532</v>
      </c>
      <c r="D19" s="22" t="s">
        <v>532</v>
      </c>
      <c r="E19" s="224"/>
      <c r="F19" s="212" t="s">
        <v>519</v>
      </c>
      <c r="G19" s="225" t="s">
        <v>533</v>
      </c>
      <c r="H19" s="22" t="s">
        <v>534</v>
      </c>
    </row>
    <row r="20" spans="1:8" x14ac:dyDescent="0.3">
      <c r="A20" s="266"/>
      <c r="B20" s="269" t="s">
        <v>535</v>
      </c>
      <c r="C20" s="22" t="s">
        <v>536</v>
      </c>
      <c r="D20" s="22" t="s">
        <v>536</v>
      </c>
      <c r="E20" s="224"/>
      <c r="F20" s="212" t="s">
        <v>519</v>
      </c>
      <c r="G20" s="23" t="s">
        <v>537</v>
      </c>
      <c r="H20" s="27"/>
    </row>
    <row r="21" spans="1:8" x14ac:dyDescent="0.3">
      <c r="A21" s="266"/>
      <c r="B21" s="269"/>
      <c r="C21" s="22" t="s">
        <v>538</v>
      </c>
      <c r="D21" s="22" t="s">
        <v>538</v>
      </c>
      <c r="E21" s="224"/>
      <c r="F21" s="212" t="s">
        <v>519</v>
      </c>
      <c r="G21" s="23" t="s">
        <v>539</v>
      </c>
      <c r="H21" s="27"/>
    </row>
    <row r="22" spans="1:8" x14ac:dyDescent="0.3">
      <c r="A22" s="266"/>
      <c r="B22" s="269"/>
      <c r="C22" s="22" t="s">
        <v>540</v>
      </c>
      <c r="D22" s="22" t="s">
        <v>540</v>
      </c>
      <c r="E22" s="224"/>
      <c r="F22" s="212" t="s">
        <v>519</v>
      </c>
      <c r="G22" s="23" t="s">
        <v>541</v>
      </c>
      <c r="H22" s="27"/>
    </row>
    <row r="23" spans="1:8" ht="40.5" x14ac:dyDescent="0.3">
      <c r="A23" s="266"/>
      <c r="B23" s="264" t="s">
        <v>542</v>
      </c>
      <c r="C23" s="24" t="s">
        <v>543</v>
      </c>
      <c r="D23" s="22" t="s">
        <v>544</v>
      </c>
      <c r="E23" s="224"/>
      <c r="F23" s="212" t="s">
        <v>519</v>
      </c>
      <c r="G23" s="225" t="s">
        <v>533</v>
      </c>
      <c r="H23" s="214"/>
    </row>
    <row r="24" spans="1:8" x14ac:dyDescent="0.3">
      <c r="A24" s="266"/>
      <c r="B24" s="264"/>
      <c r="C24" s="24" t="s">
        <v>545</v>
      </c>
      <c r="D24" s="22" t="s">
        <v>546</v>
      </c>
      <c r="E24" s="70"/>
      <c r="F24" s="212" t="s">
        <v>519</v>
      </c>
      <c r="G24" s="225" t="s">
        <v>533</v>
      </c>
      <c r="H24" s="27"/>
    </row>
    <row r="25" spans="1:8" x14ac:dyDescent="0.3">
      <c r="A25" s="266"/>
      <c r="B25" s="207" t="s">
        <v>547</v>
      </c>
      <c r="C25" s="22" t="s">
        <v>548</v>
      </c>
      <c r="D25" s="22"/>
      <c r="E25" s="224" t="s">
        <v>549</v>
      </c>
      <c r="F25" s="70"/>
      <c r="G25" s="22" t="s">
        <v>550</v>
      </c>
      <c r="H25" s="22"/>
    </row>
    <row r="26" spans="1:8" ht="27" x14ac:dyDescent="0.3">
      <c r="A26" s="267"/>
      <c r="B26" s="206" t="s">
        <v>551</v>
      </c>
      <c r="C26" s="24" t="s">
        <v>552</v>
      </c>
      <c r="D26" s="27" t="s">
        <v>710</v>
      </c>
      <c r="E26" s="210" t="s">
        <v>709</v>
      </c>
      <c r="F26" s="212" t="s">
        <v>553</v>
      </c>
      <c r="G26" s="27" t="s">
        <v>709</v>
      </c>
      <c r="H26" s="225" t="s">
        <v>690</v>
      </c>
    </row>
    <row r="27" spans="1:8" x14ac:dyDescent="0.3">
      <c r="A27" s="263" t="s">
        <v>42</v>
      </c>
      <c r="B27" s="263" t="s">
        <v>41</v>
      </c>
      <c r="C27" s="29" t="s">
        <v>554</v>
      </c>
      <c r="D27" s="21" t="s">
        <v>30</v>
      </c>
      <c r="E27" s="216" t="s">
        <v>489</v>
      </c>
      <c r="F27" s="212" t="s">
        <v>555</v>
      </c>
      <c r="G27" s="21" t="s">
        <v>556</v>
      </c>
      <c r="H27" s="27" t="s">
        <v>557</v>
      </c>
    </row>
    <row r="28" spans="1:8" x14ac:dyDescent="0.3">
      <c r="A28" s="263"/>
      <c r="B28" s="263"/>
      <c r="C28" s="25" t="s">
        <v>558</v>
      </c>
      <c r="D28" s="21" t="s">
        <v>559</v>
      </c>
      <c r="E28" s="216" t="s">
        <v>489</v>
      </c>
      <c r="F28" s="212" t="s">
        <v>555</v>
      </c>
      <c r="G28" s="21" t="s">
        <v>556</v>
      </c>
      <c r="H28" s="27" t="s">
        <v>557</v>
      </c>
    </row>
    <row r="29" spans="1:8" x14ac:dyDescent="0.3">
      <c r="A29" s="263"/>
      <c r="B29" s="263"/>
      <c r="C29" s="25" t="s">
        <v>560</v>
      </c>
      <c r="D29" s="21" t="s">
        <v>561</v>
      </c>
      <c r="E29" s="216"/>
      <c r="F29" s="212" t="s">
        <v>555</v>
      </c>
      <c r="G29" s="21" t="s">
        <v>562</v>
      </c>
      <c r="H29" s="27"/>
    </row>
    <row r="30" spans="1:8" x14ac:dyDescent="0.3">
      <c r="A30" s="263"/>
      <c r="B30" s="263"/>
      <c r="C30" s="25" t="s">
        <v>563</v>
      </c>
      <c r="D30" s="21" t="s">
        <v>561</v>
      </c>
      <c r="E30" s="216"/>
      <c r="F30" s="212" t="s">
        <v>555</v>
      </c>
      <c r="G30" s="21" t="s">
        <v>562</v>
      </c>
      <c r="H30" s="27"/>
    </row>
    <row r="31" spans="1:8" ht="40.5" x14ac:dyDescent="0.3">
      <c r="A31" s="263"/>
      <c r="B31" s="264" t="s">
        <v>564</v>
      </c>
      <c r="C31" s="26" t="s">
        <v>565</v>
      </c>
      <c r="D31" s="24" t="s">
        <v>566</v>
      </c>
      <c r="E31" s="226" t="s">
        <v>567</v>
      </c>
      <c r="F31" s="212" t="s">
        <v>519</v>
      </c>
      <c r="G31" s="26" t="s">
        <v>568</v>
      </c>
      <c r="H31" s="23"/>
    </row>
    <row r="32" spans="1:8" x14ac:dyDescent="0.3">
      <c r="A32" s="263"/>
      <c r="B32" s="264"/>
      <c r="C32" s="26" t="s">
        <v>569</v>
      </c>
      <c r="D32" s="24" t="s">
        <v>570</v>
      </c>
      <c r="E32" s="226" t="s">
        <v>567</v>
      </c>
      <c r="F32" s="212" t="s">
        <v>571</v>
      </c>
      <c r="G32" s="26" t="s">
        <v>569</v>
      </c>
      <c r="H32" s="23"/>
    </row>
    <row r="33" spans="1:8" x14ac:dyDescent="0.3">
      <c r="A33" s="263"/>
      <c r="B33" s="263" t="s">
        <v>572</v>
      </c>
      <c r="C33" s="26" t="s">
        <v>573</v>
      </c>
      <c r="D33" s="21" t="s">
        <v>574</v>
      </c>
      <c r="E33" s="227"/>
      <c r="F33" s="212" t="s">
        <v>571</v>
      </c>
      <c r="G33" s="25" t="s">
        <v>573</v>
      </c>
      <c r="H33" s="27" t="s">
        <v>575</v>
      </c>
    </row>
    <row r="34" spans="1:8" ht="27" x14ac:dyDescent="0.3">
      <c r="A34" s="263"/>
      <c r="B34" s="263"/>
      <c r="C34" s="26" t="s">
        <v>576</v>
      </c>
      <c r="D34" s="21" t="s">
        <v>31</v>
      </c>
      <c r="E34" s="227"/>
      <c r="F34" s="212" t="s">
        <v>553</v>
      </c>
      <c r="G34" s="25" t="s">
        <v>576</v>
      </c>
      <c r="H34" s="27" t="s">
        <v>577</v>
      </c>
    </row>
    <row r="35" spans="1:8" x14ac:dyDescent="0.3">
      <c r="A35" s="263"/>
      <c r="B35" s="263"/>
      <c r="C35" s="26" t="s">
        <v>578</v>
      </c>
      <c r="D35" s="21" t="s">
        <v>579</v>
      </c>
      <c r="E35" s="227"/>
      <c r="F35" s="212" t="s">
        <v>553</v>
      </c>
      <c r="G35" s="25" t="s">
        <v>578</v>
      </c>
      <c r="H35" s="27"/>
    </row>
    <row r="36" spans="1:8" ht="27" x14ac:dyDescent="0.3">
      <c r="A36" s="263"/>
      <c r="B36" s="263"/>
      <c r="C36" s="26" t="s">
        <v>580</v>
      </c>
      <c r="D36" s="24" t="s">
        <v>581</v>
      </c>
      <c r="E36" s="228"/>
      <c r="F36" s="212" t="s">
        <v>553</v>
      </c>
      <c r="G36" s="26" t="s">
        <v>580</v>
      </c>
      <c r="H36" s="22"/>
    </row>
    <row r="37" spans="1:8" ht="40.5" x14ac:dyDescent="0.3">
      <c r="A37" s="263"/>
      <c r="B37" s="263"/>
      <c r="C37" s="26" t="s">
        <v>582</v>
      </c>
      <c r="D37" s="21" t="s">
        <v>583</v>
      </c>
      <c r="E37" s="227"/>
      <c r="F37" s="212" t="s">
        <v>553</v>
      </c>
      <c r="G37" s="25" t="s">
        <v>584</v>
      </c>
      <c r="H37" s="25"/>
    </row>
    <row r="38" spans="1:8" ht="5.25" customHeight="1" x14ac:dyDescent="0.3">
      <c r="A38" s="229"/>
      <c r="B38" s="229"/>
      <c r="C38" s="230"/>
      <c r="D38" s="230"/>
      <c r="E38" s="231"/>
      <c r="F38" s="232"/>
      <c r="G38" s="232"/>
      <c r="H38" s="232"/>
    </row>
    <row r="39" spans="1:8" x14ac:dyDescent="0.3">
      <c r="C39" s="233"/>
    </row>
    <row r="40" spans="1:8" x14ac:dyDescent="0.3">
      <c r="C40" s="234"/>
    </row>
    <row r="41" spans="1:8" x14ac:dyDescent="0.3">
      <c r="C41" s="234"/>
    </row>
    <row r="42" spans="1:8" x14ac:dyDescent="0.3">
      <c r="C42" s="234"/>
    </row>
    <row r="43" spans="1:8" x14ac:dyDescent="0.3">
      <c r="C43" s="234"/>
    </row>
    <row r="44" spans="1:8" x14ac:dyDescent="0.3">
      <c r="C44" s="234"/>
    </row>
    <row r="45" spans="1:8" x14ac:dyDescent="0.3">
      <c r="C45" s="234"/>
    </row>
  </sheetData>
  <mergeCells count="10">
    <mergeCell ref="A27:A37"/>
    <mergeCell ref="B27:B30"/>
    <mergeCell ref="B31:B32"/>
    <mergeCell ref="B33:B37"/>
    <mergeCell ref="A3:A26"/>
    <mergeCell ref="B3:B9"/>
    <mergeCell ref="B10:B16"/>
    <mergeCell ref="B17:B19"/>
    <mergeCell ref="B20:B22"/>
    <mergeCell ref="B23:B2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49"/>
  <sheetViews>
    <sheetView zoomScale="85" zoomScaleNormal="85" workbookViewId="0">
      <pane ySplit="2" topLeftCell="A3" activePane="bottomLeft" state="frozen"/>
      <selection pane="bottomLeft" activeCell="E9" sqref="E9"/>
    </sheetView>
  </sheetViews>
  <sheetFormatPr defaultRowHeight="16.5" x14ac:dyDescent="0.3"/>
  <cols>
    <col min="1" max="1" width="14.125" bestFit="1" customWidth="1"/>
    <col min="2" max="2" width="16.625" bestFit="1" customWidth="1"/>
    <col min="3" max="3" width="12.75" bestFit="1" customWidth="1"/>
    <col min="4" max="4" width="23.75" bestFit="1" customWidth="1"/>
    <col min="5" max="5" width="26.375" style="11" customWidth="1"/>
    <col min="6" max="6" width="93.5" customWidth="1"/>
    <col min="7" max="7" width="74" customWidth="1"/>
    <col min="8" max="8" width="15.875" bestFit="1" customWidth="1"/>
    <col min="9" max="13" width="9" style="11"/>
  </cols>
  <sheetData>
    <row r="2" spans="1:8" ht="22.5" customHeight="1" x14ac:dyDescent="0.3">
      <c r="A2" s="235" t="s">
        <v>585</v>
      </c>
      <c r="B2" s="235" t="s">
        <v>586</v>
      </c>
      <c r="C2" s="270" t="s">
        <v>587</v>
      </c>
      <c r="D2" s="270"/>
      <c r="E2" s="235" t="s">
        <v>588</v>
      </c>
      <c r="F2" s="235" t="s">
        <v>589</v>
      </c>
      <c r="G2" s="235" t="s">
        <v>590</v>
      </c>
    </row>
    <row r="3" spans="1:8" ht="99" x14ac:dyDescent="0.3">
      <c r="A3" s="271" t="s">
        <v>591</v>
      </c>
      <c r="B3" s="272" t="s">
        <v>592</v>
      </c>
      <c r="C3" s="273" t="s">
        <v>593</v>
      </c>
      <c r="D3" s="274"/>
      <c r="E3" s="212" t="s">
        <v>594</v>
      </c>
      <c r="F3" s="236" t="s">
        <v>595</v>
      </c>
      <c r="G3" s="236" t="s">
        <v>596</v>
      </c>
    </row>
    <row r="4" spans="1:8" x14ac:dyDescent="0.3">
      <c r="A4" s="271"/>
      <c r="B4" s="272"/>
      <c r="C4" s="275" t="s">
        <v>597</v>
      </c>
      <c r="D4" s="275"/>
      <c r="E4" s="212"/>
      <c r="F4" s="237" t="s">
        <v>598</v>
      </c>
      <c r="G4" s="238"/>
    </row>
    <row r="5" spans="1:8" x14ac:dyDescent="0.3">
      <c r="A5" s="271"/>
      <c r="B5" s="272"/>
      <c r="C5" s="275" t="s">
        <v>599</v>
      </c>
      <c r="D5" s="275"/>
      <c r="E5" s="212" t="s">
        <v>600</v>
      </c>
      <c r="F5" s="237" t="s">
        <v>601</v>
      </c>
      <c r="G5" s="238" t="s">
        <v>602</v>
      </c>
    </row>
    <row r="6" spans="1:8" x14ac:dyDescent="0.3">
      <c r="A6" s="271"/>
      <c r="B6" s="272"/>
      <c r="C6" s="275" t="s">
        <v>603</v>
      </c>
      <c r="D6" s="275"/>
      <c r="E6" s="212" t="s">
        <v>600</v>
      </c>
      <c r="F6" s="237" t="s">
        <v>604</v>
      </c>
      <c r="G6" s="238"/>
    </row>
    <row r="7" spans="1:8" s="11" customFormat="1" x14ac:dyDescent="0.3">
      <c r="A7" s="276" t="s">
        <v>605</v>
      </c>
      <c r="B7" s="276" t="s">
        <v>606</v>
      </c>
      <c r="C7" s="278" t="s">
        <v>607</v>
      </c>
      <c r="D7" s="279"/>
      <c r="E7" s="212"/>
      <c r="F7" s="239" t="s">
        <v>608</v>
      </c>
      <c r="G7" s="238"/>
      <c r="H7"/>
    </row>
    <row r="8" spans="1:8" s="11" customFormat="1" x14ac:dyDescent="0.3">
      <c r="A8" s="276"/>
      <c r="B8" s="276"/>
      <c r="C8" s="278" t="s">
        <v>609</v>
      </c>
      <c r="D8" s="279"/>
      <c r="E8" s="212"/>
      <c r="F8" s="239" t="s">
        <v>610</v>
      </c>
      <c r="G8" s="238"/>
      <c r="H8"/>
    </row>
    <row r="9" spans="1:8" s="11" customFormat="1" x14ac:dyDescent="0.3">
      <c r="A9" s="276"/>
      <c r="B9" s="276"/>
      <c r="C9" s="278" t="s">
        <v>611</v>
      </c>
      <c r="D9" s="279"/>
      <c r="E9" s="212" t="s">
        <v>600</v>
      </c>
      <c r="F9" s="239" t="s">
        <v>612</v>
      </c>
      <c r="G9" s="240"/>
      <c r="H9"/>
    </row>
    <row r="10" spans="1:8" s="11" customFormat="1" x14ac:dyDescent="0.3">
      <c r="A10" s="276"/>
      <c r="B10" s="277"/>
      <c r="C10" s="278" t="s">
        <v>613</v>
      </c>
      <c r="D10" s="279"/>
      <c r="E10" s="212" t="s">
        <v>600</v>
      </c>
      <c r="F10" s="239" t="s">
        <v>614</v>
      </c>
      <c r="G10" s="240"/>
      <c r="H10"/>
    </row>
    <row r="11" spans="1:8" s="11" customFormat="1" x14ac:dyDescent="0.3">
      <c r="A11" s="276"/>
      <c r="B11" s="280" t="s">
        <v>615</v>
      </c>
      <c r="C11" s="278" t="s">
        <v>616</v>
      </c>
      <c r="D11" s="279"/>
      <c r="E11" s="212" t="s">
        <v>600</v>
      </c>
      <c r="F11" s="241" t="s">
        <v>705</v>
      </c>
      <c r="G11" s="240" t="s">
        <v>691</v>
      </c>
      <c r="H11"/>
    </row>
    <row r="12" spans="1:8" s="11" customFormat="1" x14ac:dyDescent="0.3">
      <c r="A12" s="276"/>
      <c r="B12" s="280"/>
      <c r="C12" s="278" t="s">
        <v>617</v>
      </c>
      <c r="D12" s="279"/>
      <c r="E12" s="212" t="s">
        <v>600</v>
      </c>
      <c r="F12" s="241" t="s">
        <v>706</v>
      </c>
      <c r="G12" s="240" t="s">
        <v>692</v>
      </c>
      <c r="H12"/>
    </row>
    <row r="13" spans="1:8" s="11" customFormat="1" ht="16.5" customHeight="1" x14ac:dyDescent="0.3">
      <c r="A13" s="281" t="s">
        <v>619</v>
      </c>
      <c r="B13" s="281" t="s">
        <v>620</v>
      </c>
      <c r="C13" s="284" t="s">
        <v>621</v>
      </c>
      <c r="D13" s="243" t="s">
        <v>622</v>
      </c>
      <c r="E13" s="244" t="s">
        <v>618</v>
      </c>
      <c r="F13" s="239" t="s">
        <v>618</v>
      </c>
      <c r="G13" s="242"/>
      <c r="H13"/>
    </row>
    <row r="14" spans="1:8" s="11" customFormat="1" x14ac:dyDescent="0.3">
      <c r="A14" s="282"/>
      <c r="B14" s="282"/>
      <c r="C14" s="285"/>
      <c r="D14" s="243" t="s">
        <v>623</v>
      </c>
      <c r="E14" s="212" t="s">
        <v>600</v>
      </c>
      <c r="F14" s="245" t="s">
        <v>694</v>
      </c>
      <c r="G14" s="242"/>
      <c r="H14"/>
    </row>
    <row r="15" spans="1:8" s="11" customFormat="1" x14ac:dyDescent="0.3">
      <c r="A15" s="282"/>
      <c r="B15" s="282"/>
      <c r="C15" s="285"/>
      <c r="D15" s="246" t="s">
        <v>624</v>
      </c>
      <c r="E15" s="212" t="s">
        <v>625</v>
      </c>
      <c r="F15" s="239">
        <v>120</v>
      </c>
      <c r="G15" s="238" t="s">
        <v>626</v>
      </c>
      <c r="H15"/>
    </row>
    <row r="16" spans="1:8" s="11" customFormat="1" x14ac:dyDescent="0.3">
      <c r="A16" s="282"/>
      <c r="B16" s="282"/>
      <c r="C16" s="285"/>
      <c r="D16" s="246" t="s">
        <v>627</v>
      </c>
      <c r="E16" s="212" t="s">
        <v>625</v>
      </c>
      <c r="F16" s="239" t="s">
        <v>704</v>
      </c>
      <c r="G16" s="238" t="s">
        <v>628</v>
      </c>
      <c r="H16"/>
    </row>
    <row r="17" spans="1:8" s="11" customFormat="1" x14ac:dyDescent="0.3">
      <c r="A17" s="282"/>
      <c r="B17" s="282"/>
      <c r="C17" s="285"/>
      <c r="D17" s="246" t="s">
        <v>629</v>
      </c>
      <c r="E17" s="212" t="s">
        <v>625</v>
      </c>
      <c r="F17" s="239">
        <v>5</v>
      </c>
      <c r="G17" s="238" t="s">
        <v>630</v>
      </c>
      <c r="H17"/>
    </row>
    <row r="18" spans="1:8" s="11" customFormat="1" x14ac:dyDescent="0.3">
      <c r="A18" s="282"/>
      <c r="B18" s="282"/>
      <c r="C18" s="285"/>
      <c r="D18" s="246" t="s">
        <v>631</v>
      </c>
      <c r="E18" s="212" t="s">
        <v>625</v>
      </c>
      <c r="F18" s="239">
        <v>32</v>
      </c>
      <c r="G18" s="238" t="s">
        <v>632</v>
      </c>
      <c r="H18"/>
    </row>
    <row r="19" spans="1:8" s="11" customFormat="1" x14ac:dyDescent="0.3">
      <c r="A19" s="282"/>
      <c r="B19" s="282"/>
      <c r="C19" s="286" t="s">
        <v>633</v>
      </c>
      <c r="D19" s="247" t="s">
        <v>634</v>
      </c>
      <c r="E19" s="212" t="s">
        <v>625</v>
      </c>
      <c r="F19" s="245">
        <v>256</v>
      </c>
      <c r="G19" s="242"/>
      <c r="H19"/>
    </row>
    <row r="20" spans="1:8" s="11" customFormat="1" x14ac:dyDescent="0.3">
      <c r="A20" s="282"/>
      <c r="B20" s="282"/>
      <c r="C20" s="287"/>
      <c r="D20" s="247" t="s">
        <v>635</v>
      </c>
      <c r="E20" s="212" t="s">
        <v>625</v>
      </c>
      <c r="F20" s="245">
        <v>5</v>
      </c>
      <c r="G20" s="242"/>
      <c r="H20"/>
    </row>
    <row r="21" spans="1:8" s="11" customFormat="1" x14ac:dyDescent="0.3">
      <c r="A21" s="282"/>
      <c r="B21" s="282"/>
      <c r="C21" s="287"/>
      <c r="D21" s="252" t="s">
        <v>703</v>
      </c>
      <c r="E21" s="212" t="s">
        <v>571</v>
      </c>
      <c r="F21" s="245">
        <v>4096</v>
      </c>
      <c r="G21" s="242"/>
      <c r="H21"/>
    </row>
    <row r="22" spans="1:8" s="11" customFormat="1" x14ac:dyDescent="0.3">
      <c r="A22" s="282"/>
      <c r="B22" s="282"/>
      <c r="C22" s="287"/>
      <c r="D22" s="247" t="s">
        <v>636</v>
      </c>
      <c r="E22" s="212" t="s">
        <v>571</v>
      </c>
      <c r="F22" s="245">
        <v>32</v>
      </c>
      <c r="G22" s="292" t="s">
        <v>637</v>
      </c>
      <c r="H22"/>
    </row>
    <row r="23" spans="1:8" s="11" customFormat="1" x14ac:dyDescent="0.3">
      <c r="A23" s="282"/>
      <c r="B23" s="282"/>
      <c r="C23" s="287"/>
      <c r="D23" s="247" t="s">
        <v>638</v>
      </c>
      <c r="E23" s="212" t="s">
        <v>571</v>
      </c>
      <c r="F23" s="245">
        <v>64</v>
      </c>
      <c r="G23" s="293"/>
      <c r="H23"/>
    </row>
    <row r="24" spans="1:8" s="11" customFormat="1" x14ac:dyDescent="0.3">
      <c r="A24" s="282"/>
      <c r="B24" s="282"/>
      <c r="C24" s="287"/>
      <c r="D24" s="247" t="s">
        <v>639</v>
      </c>
      <c r="E24" s="212" t="s">
        <v>571</v>
      </c>
      <c r="F24" s="245">
        <v>64</v>
      </c>
      <c r="G24" s="242" t="s">
        <v>640</v>
      </c>
      <c r="H24"/>
    </row>
    <row r="25" spans="1:8" s="11" customFormat="1" x14ac:dyDescent="0.3">
      <c r="A25" s="282"/>
      <c r="B25" s="282"/>
      <c r="C25" s="275" t="s">
        <v>641</v>
      </c>
      <c r="D25" s="246" t="s">
        <v>642</v>
      </c>
      <c r="E25" s="212" t="s">
        <v>519</v>
      </c>
      <c r="F25" s="239" t="s">
        <v>643</v>
      </c>
      <c r="G25" s="238"/>
      <c r="H25"/>
    </row>
    <row r="26" spans="1:8" s="11" customFormat="1" x14ac:dyDescent="0.3">
      <c r="A26" s="282"/>
      <c r="B26" s="282"/>
      <c r="C26" s="275"/>
      <c r="D26" s="246" t="s">
        <v>644</v>
      </c>
      <c r="E26" s="212" t="s">
        <v>519</v>
      </c>
      <c r="F26" s="239" t="s">
        <v>645</v>
      </c>
      <c r="G26" s="238"/>
      <c r="H26"/>
    </row>
    <row r="27" spans="1:8" s="11" customFormat="1" x14ac:dyDescent="0.3">
      <c r="A27" s="282"/>
      <c r="B27" s="282"/>
      <c r="C27" s="248" t="s">
        <v>646</v>
      </c>
      <c r="D27" s="246" t="s">
        <v>647</v>
      </c>
      <c r="E27" s="212" t="s">
        <v>519</v>
      </c>
      <c r="F27" s="239" t="s">
        <v>648</v>
      </c>
      <c r="G27" s="238" t="s">
        <v>649</v>
      </c>
      <c r="H27"/>
    </row>
    <row r="28" spans="1:8" s="11" customFormat="1" ht="99" x14ac:dyDescent="0.3">
      <c r="A28" s="282"/>
      <c r="B28" s="282"/>
      <c r="C28" s="275" t="s">
        <v>650</v>
      </c>
      <c r="D28" s="246" t="s">
        <v>651</v>
      </c>
      <c r="E28" s="249" t="s">
        <v>652</v>
      </c>
      <c r="F28" s="240" t="s">
        <v>653</v>
      </c>
      <c r="G28" s="238"/>
      <c r="H28"/>
    </row>
    <row r="29" spans="1:8" s="11" customFormat="1" ht="33" x14ac:dyDescent="0.3">
      <c r="A29" s="282"/>
      <c r="B29" s="282"/>
      <c r="C29" s="275"/>
      <c r="D29" s="246" t="s">
        <v>654</v>
      </c>
      <c r="E29" s="249" t="s">
        <v>652</v>
      </c>
      <c r="F29" s="240" t="s">
        <v>695</v>
      </c>
      <c r="G29" s="238"/>
      <c r="H29"/>
    </row>
    <row r="30" spans="1:8" s="11" customFormat="1" ht="33" x14ac:dyDescent="0.3">
      <c r="A30" s="282"/>
      <c r="B30" s="282"/>
      <c r="C30" s="275"/>
      <c r="D30" s="246" t="s">
        <v>655</v>
      </c>
      <c r="E30" s="249" t="s">
        <v>652</v>
      </c>
      <c r="F30" s="240" t="s">
        <v>696</v>
      </c>
      <c r="G30" s="238"/>
      <c r="H30"/>
    </row>
    <row r="31" spans="1:8" s="11" customFormat="1" x14ac:dyDescent="0.3">
      <c r="A31" s="282"/>
      <c r="B31" s="282"/>
      <c r="C31" s="275"/>
      <c r="D31" s="246" t="s">
        <v>656</v>
      </c>
      <c r="E31" s="212" t="s">
        <v>519</v>
      </c>
      <c r="F31" s="237" t="s">
        <v>657</v>
      </c>
      <c r="G31" s="238"/>
      <c r="H31"/>
    </row>
    <row r="32" spans="1:8" s="11" customFormat="1" x14ac:dyDescent="0.3">
      <c r="A32" s="282"/>
      <c r="B32" s="288" t="s">
        <v>658</v>
      </c>
      <c r="C32" s="275" t="s">
        <v>659</v>
      </c>
      <c r="D32" s="275"/>
      <c r="E32" s="212" t="s">
        <v>571</v>
      </c>
      <c r="F32" s="239" t="s">
        <v>533</v>
      </c>
      <c r="G32" s="238" t="s">
        <v>660</v>
      </c>
      <c r="H32"/>
    </row>
    <row r="33" spans="1:8" s="11" customFormat="1" x14ac:dyDescent="0.3">
      <c r="A33" s="282"/>
      <c r="B33" s="288"/>
      <c r="C33" s="275" t="s">
        <v>661</v>
      </c>
      <c r="D33" s="275"/>
      <c r="E33" s="212" t="s">
        <v>571</v>
      </c>
      <c r="F33" s="239" t="s">
        <v>662</v>
      </c>
      <c r="G33" s="238"/>
      <c r="H33"/>
    </row>
    <row r="34" spans="1:8" s="11" customFormat="1" x14ac:dyDescent="0.3">
      <c r="A34" s="282"/>
      <c r="B34" s="288"/>
      <c r="C34" s="275" t="s">
        <v>663</v>
      </c>
      <c r="D34" s="275"/>
      <c r="E34" s="212" t="s">
        <v>571</v>
      </c>
      <c r="F34" s="239" t="s">
        <v>664</v>
      </c>
      <c r="G34" s="238"/>
      <c r="H34"/>
    </row>
    <row r="35" spans="1:8" s="11" customFormat="1" x14ac:dyDescent="0.3">
      <c r="A35" s="282"/>
      <c r="B35" s="271"/>
      <c r="C35" s="275" t="s">
        <v>665</v>
      </c>
      <c r="D35" s="275"/>
      <c r="E35" s="212" t="s">
        <v>571</v>
      </c>
      <c r="F35" s="239" t="s">
        <v>533</v>
      </c>
      <c r="G35" s="238"/>
      <c r="H35"/>
    </row>
    <row r="36" spans="1:8" s="11" customFormat="1" x14ac:dyDescent="0.3">
      <c r="A36" s="282"/>
      <c r="B36" s="288" t="s">
        <v>666</v>
      </c>
      <c r="C36" s="273" t="s">
        <v>667</v>
      </c>
      <c r="D36" s="274"/>
      <c r="E36" s="212" t="s">
        <v>571</v>
      </c>
      <c r="F36" s="237" t="s">
        <v>668</v>
      </c>
      <c r="G36" s="250"/>
      <c r="H36"/>
    </row>
    <row r="37" spans="1:8" s="11" customFormat="1" x14ac:dyDescent="0.3">
      <c r="A37" s="282"/>
      <c r="B37" s="288"/>
      <c r="C37" s="273" t="s">
        <v>669</v>
      </c>
      <c r="D37" s="274"/>
      <c r="E37" s="212" t="s">
        <v>571</v>
      </c>
      <c r="F37" s="237" t="s">
        <v>670</v>
      </c>
      <c r="G37" s="250"/>
      <c r="H37"/>
    </row>
    <row r="38" spans="1:8" s="11" customFormat="1" x14ac:dyDescent="0.3">
      <c r="A38" s="282"/>
      <c r="B38" s="288"/>
      <c r="C38" s="273" t="s">
        <v>671</v>
      </c>
      <c r="D38" s="274"/>
      <c r="E38" s="212" t="s">
        <v>571</v>
      </c>
      <c r="F38" s="237" t="s">
        <v>672</v>
      </c>
      <c r="G38" s="250"/>
      <c r="H38"/>
    </row>
    <row r="39" spans="1:8" s="11" customFormat="1" x14ac:dyDescent="0.3">
      <c r="A39" s="282"/>
      <c r="B39" s="288"/>
      <c r="C39" s="273" t="s">
        <v>673</v>
      </c>
      <c r="D39" s="274"/>
      <c r="E39" s="212" t="s">
        <v>571</v>
      </c>
      <c r="F39" s="237" t="s">
        <v>674</v>
      </c>
      <c r="G39" s="250"/>
      <c r="H39"/>
    </row>
    <row r="40" spans="1:8" s="11" customFormat="1" x14ac:dyDescent="0.3">
      <c r="A40" s="282"/>
      <c r="B40" s="288"/>
      <c r="C40" s="273" t="s">
        <v>675</v>
      </c>
      <c r="D40" s="274"/>
      <c r="E40" s="212" t="s">
        <v>571</v>
      </c>
      <c r="F40" s="237" t="s">
        <v>676</v>
      </c>
      <c r="G40" s="250"/>
      <c r="H40"/>
    </row>
    <row r="41" spans="1:8" s="11" customFormat="1" x14ac:dyDescent="0.3">
      <c r="A41" s="282"/>
      <c r="B41" s="288"/>
      <c r="C41" s="273" t="s">
        <v>677</v>
      </c>
      <c r="D41" s="274"/>
      <c r="E41" s="212" t="s">
        <v>571</v>
      </c>
      <c r="F41" s="237" t="s">
        <v>678</v>
      </c>
      <c r="G41" s="250"/>
      <c r="H41"/>
    </row>
    <row r="42" spans="1:8" s="11" customFormat="1" x14ac:dyDescent="0.3">
      <c r="A42" s="282"/>
      <c r="B42" s="289" t="s">
        <v>679</v>
      </c>
      <c r="C42" s="273" t="s">
        <v>680</v>
      </c>
      <c r="D42" s="274"/>
      <c r="E42" s="212" t="s">
        <v>571</v>
      </c>
      <c r="F42" s="237" t="s">
        <v>681</v>
      </c>
      <c r="G42" s="250"/>
      <c r="H42"/>
    </row>
    <row r="43" spans="1:8" s="11" customFormat="1" x14ac:dyDescent="0.3">
      <c r="A43" s="282"/>
      <c r="B43" s="290"/>
      <c r="C43" s="273" t="s">
        <v>682</v>
      </c>
      <c r="D43" s="274"/>
      <c r="E43" s="212" t="s">
        <v>571</v>
      </c>
      <c r="F43" s="237">
        <v>1</v>
      </c>
      <c r="G43" s="250"/>
      <c r="H43"/>
    </row>
    <row r="44" spans="1:8" s="11" customFormat="1" x14ac:dyDescent="0.3">
      <c r="A44" s="282"/>
      <c r="B44" s="290"/>
      <c r="C44" s="273" t="s">
        <v>683</v>
      </c>
      <c r="D44" s="274"/>
      <c r="E44" s="212" t="s">
        <v>571</v>
      </c>
      <c r="F44" s="237">
        <v>30</v>
      </c>
      <c r="G44" s="250"/>
      <c r="H44"/>
    </row>
    <row r="45" spans="1:8" s="11" customFormat="1" x14ac:dyDescent="0.3">
      <c r="A45" s="282"/>
      <c r="B45" s="290"/>
      <c r="C45" s="273" t="s">
        <v>684</v>
      </c>
      <c r="D45" s="274"/>
      <c r="E45" s="212" t="s">
        <v>571</v>
      </c>
      <c r="F45" s="246" t="b">
        <v>1</v>
      </c>
      <c r="G45" s="250"/>
      <c r="H45"/>
    </row>
    <row r="46" spans="1:8" s="11" customFormat="1" x14ac:dyDescent="0.3">
      <c r="A46" s="282"/>
      <c r="B46" s="290"/>
      <c r="C46" s="273" t="s">
        <v>685</v>
      </c>
      <c r="D46" s="274"/>
      <c r="E46" s="212" t="s">
        <v>571</v>
      </c>
      <c r="F46" s="246">
        <v>3000</v>
      </c>
      <c r="G46" s="250"/>
      <c r="H46"/>
    </row>
    <row r="47" spans="1:8" s="11" customFormat="1" x14ac:dyDescent="0.3">
      <c r="A47" s="282"/>
      <c r="B47" s="290"/>
      <c r="C47" s="273" t="s">
        <v>686</v>
      </c>
      <c r="D47" s="274"/>
      <c r="E47" s="212" t="s">
        <v>571</v>
      </c>
      <c r="F47" s="246">
        <v>30</v>
      </c>
      <c r="G47" s="250"/>
      <c r="H47"/>
    </row>
    <row r="48" spans="1:8" s="11" customFormat="1" x14ac:dyDescent="0.3">
      <c r="A48" s="283"/>
      <c r="B48" s="291"/>
      <c r="C48" s="273" t="s">
        <v>687</v>
      </c>
      <c r="D48" s="274"/>
      <c r="E48" s="212" t="s">
        <v>571</v>
      </c>
      <c r="F48" s="246">
        <v>15</v>
      </c>
      <c r="G48" s="250"/>
      <c r="H48"/>
    </row>
    <row r="49" spans="1:8" s="11" customFormat="1" ht="6" customHeight="1" x14ac:dyDescent="0.3">
      <c r="A49" s="229"/>
      <c r="B49" s="229"/>
      <c r="C49" s="230"/>
      <c r="D49" s="230"/>
      <c r="E49" s="229"/>
      <c r="F49" s="232"/>
      <c r="G49" s="251"/>
      <c r="H49"/>
    </row>
  </sheetData>
  <mergeCells count="43">
    <mergeCell ref="C46:D46"/>
    <mergeCell ref="C47:D47"/>
    <mergeCell ref="C48:D48"/>
    <mergeCell ref="G22:G23"/>
    <mergeCell ref="C25:C26"/>
    <mergeCell ref="C28:C31"/>
    <mergeCell ref="B32:B35"/>
    <mergeCell ref="C32:D32"/>
    <mergeCell ref="C33:D33"/>
    <mergeCell ref="C34:D34"/>
    <mergeCell ref="C35:D35"/>
    <mergeCell ref="A13:A48"/>
    <mergeCell ref="B13:B31"/>
    <mergeCell ref="C13:C18"/>
    <mergeCell ref="C19:C24"/>
    <mergeCell ref="B36:B41"/>
    <mergeCell ref="C41:D41"/>
    <mergeCell ref="C36:D36"/>
    <mergeCell ref="C37:D37"/>
    <mergeCell ref="C38:D38"/>
    <mergeCell ref="C39:D39"/>
    <mergeCell ref="C40:D40"/>
    <mergeCell ref="B42:B48"/>
    <mergeCell ref="C42:D42"/>
    <mergeCell ref="C43:D43"/>
    <mergeCell ref="C44:D44"/>
    <mergeCell ref="C45:D45"/>
    <mergeCell ref="A7:A12"/>
    <mergeCell ref="B7:B10"/>
    <mergeCell ref="C7:D7"/>
    <mergeCell ref="C8:D8"/>
    <mergeCell ref="C9:D9"/>
    <mergeCell ref="C10:D10"/>
    <mergeCell ref="B11:B12"/>
    <mergeCell ref="C11:D11"/>
    <mergeCell ref="C12:D12"/>
    <mergeCell ref="C2:D2"/>
    <mergeCell ref="A3:A6"/>
    <mergeCell ref="B3:B6"/>
    <mergeCell ref="C3:D3"/>
    <mergeCell ref="C4:D4"/>
    <mergeCell ref="C5:D5"/>
    <mergeCell ref="C6:D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7"/>
  <sheetViews>
    <sheetView workbookViewId="0">
      <selection activeCell="F23" sqref="F23"/>
    </sheetView>
  </sheetViews>
  <sheetFormatPr defaultRowHeight="16.5" x14ac:dyDescent="0.3"/>
  <cols>
    <col min="1" max="1" width="4" bestFit="1" customWidth="1"/>
    <col min="2" max="2" width="31.625" bestFit="1" customWidth="1"/>
    <col min="3" max="3" width="16.25" bestFit="1" customWidth="1"/>
    <col min="4" max="4" width="10" customWidth="1"/>
    <col min="5" max="5" width="15.875" customWidth="1"/>
    <col min="6" max="6" width="8" bestFit="1" customWidth="1"/>
    <col min="7" max="8" width="9.125" customWidth="1"/>
    <col min="9" max="9" width="6.375" bestFit="1" customWidth="1"/>
    <col min="10" max="10" width="6.125" bestFit="1" customWidth="1"/>
    <col min="11" max="11" width="40.75" customWidth="1"/>
  </cols>
  <sheetData>
    <row r="1" spans="1:11" x14ac:dyDescent="0.3">
      <c r="A1" s="39" t="s">
        <v>51</v>
      </c>
    </row>
    <row r="3" spans="1:11" ht="16.5" customHeight="1" x14ac:dyDescent="0.3">
      <c r="A3" s="302" t="s">
        <v>44</v>
      </c>
      <c r="B3" s="302" t="s">
        <v>8</v>
      </c>
      <c r="C3" s="302" t="s">
        <v>59</v>
      </c>
      <c r="D3" s="302" t="s">
        <v>220</v>
      </c>
      <c r="E3" s="299" t="s">
        <v>46</v>
      </c>
      <c r="F3" s="304" t="s">
        <v>52</v>
      </c>
      <c r="G3" s="305"/>
      <c r="H3" s="305"/>
      <c r="I3" s="306"/>
      <c r="J3" s="299" t="s">
        <v>50</v>
      </c>
      <c r="K3" s="299" t="s">
        <v>45</v>
      </c>
    </row>
    <row r="4" spans="1:11" ht="16.5" customHeight="1" x14ac:dyDescent="0.3">
      <c r="A4" s="303"/>
      <c r="B4" s="303"/>
      <c r="C4" s="303"/>
      <c r="D4" s="303"/>
      <c r="E4" s="300"/>
      <c r="F4" s="61" t="s">
        <v>221</v>
      </c>
      <c r="G4" s="60" t="s">
        <v>386</v>
      </c>
      <c r="H4" s="61" t="s">
        <v>385</v>
      </c>
      <c r="I4" s="61" t="s">
        <v>384</v>
      </c>
      <c r="J4" s="300"/>
      <c r="K4" s="300"/>
    </row>
    <row r="5" spans="1:11" ht="16.5" customHeight="1" x14ac:dyDescent="0.3">
      <c r="A5" s="9">
        <v>1</v>
      </c>
      <c r="B5" s="9" t="s">
        <v>413</v>
      </c>
      <c r="C5" s="294" t="s">
        <v>451</v>
      </c>
      <c r="D5" s="296" t="s">
        <v>218</v>
      </c>
      <c r="E5" s="71" t="s">
        <v>215</v>
      </c>
      <c r="F5" s="8" t="s">
        <v>216</v>
      </c>
      <c r="G5" s="123" t="s">
        <v>693</v>
      </c>
      <c r="H5" s="123" t="s">
        <v>364</v>
      </c>
      <c r="I5" s="28" t="str">
        <f t="shared" ref="I5:I12" si="0">IF(ISBLANK(H5)=TRUE,G5,H5)</f>
        <v>SV11</v>
      </c>
      <c r="J5" s="31">
        <v>11</v>
      </c>
      <c r="K5" s="72" t="s">
        <v>217</v>
      </c>
    </row>
    <row r="6" spans="1:11" ht="16.5" customHeight="1" x14ac:dyDescent="0.3">
      <c r="A6" s="9">
        <v>2</v>
      </c>
      <c r="B6" s="9" t="s">
        <v>396</v>
      </c>
      <c r="C6" s="301"/>
      <c r="D6" s="297"/>
      <c r="E6" s="71" t="s">
        <v>215</v>
      </c>
      <c r="F6" s="8" t="s">
        <v>216</v>
      </c>
      <c r="G6" s="123" t="s">
        <v>693</v>
      </c>
      <c r="H6" s="124" t="s">
        <v>365</v>
      </c>
      <c r="I6" s="28" t="str">
        <f t="shared" si="0"/>
        <v>SV12</v>
      </c>
      <c r="J6" s="31">
        <v>11</v>
      </c>
      <c r="K6" s="4" t="s">
        <v>280</v>
      </c>
    </row>
    <row r="7" spans="1:11" x14ac:dyDescent="0.3">
      <c r="A7" s="9">
        <v>3</v>
      </c>
      <c r="B7" s="9" t="s">
        <v>412</v>
      </c>
      <c r="C7" s="301"/>
      <c r="D7" s="297"/>
      <c r="E7" s="71" t="s">
        <v>215</v>
      </c>
      <c r="F7" s="8" t="s">
        <v>216</v>
      </c>
      <c r="G7" s="123" t="s">
        <v>693</v>
      </c>
      <c r="H7" s="124" t="s">
        <v>366</v>
      </c>
      <c r="I7" s="28" t="str">
        <f t="shared" si="0"/>
        <v>SV13</v>
      </c>
      <c r="J7" s="31">
        <v>11</v>
      </c>
      <c r="K7" s="4" t="s">
        <v>248</v>
      </c>
    </row>
    <row r="8" spans="1:11" x14ac:dyDescent="0.3">
      <c r="A8" s="9">
        <v>5</v>
      </c>
      <c r="B8" s="9" t="s">
        <v>479</v>
      </c>
      <c r="C8" s="301"/>
      <c r="D8" s="297"/>
      <c r="E8" s="71" t="s">
        <v>215</v>
      </c>
      <c r="F8" s="8" t="s">
        <v>216</v>
      </c>
      <c r="G8" s="123" t="s">
        <v>693</v>
      </c>
      <c r="H8" s="124" t="s">
        <v>367</v>
      </c>
      <c r="I8" s="28" t="str">
        <f t="shared" si="0"/>
        <v>SV14</v>
      </c>
      <c r="J8" s="31">
        <v>11</v>
      </c>
      <c r="K8" s="4" t="s">
        <v>249</v>
      </c>
    </row>
    <row r="9" spans="1:11" x14ac:dyDescent="0.3">
      <c r="A9" s="9">
        <v>6</v>
      </c>
      <c r="B9" s="9" t="s">
        <v>483</v>
      </c>
      <c r="C9" s="295"/>
      <c r="D9" s="298"/>
      <c r="E9" s="71" t="s">
        <v>215</v>
      </c>
      <c r="F9" s="8" t="s">
        <v>481</v>
      </c>
      <c r="G9" s="123" t="s">
        <v>693</v>
      </c>
      <c r="H9" s="124" t="s">
        <v>484</v>
      </c>
      <c r="I9" s="28" t="str">
        <f t="shared" si="0"/>
        <v>SV15</v>
      </c>
      <c r="J9" s="31">
        <v>11</v>
      </c>
      <c r="K9" s="205" t="s">
        <v>482</v>
      </c>
    </row>
    <row r="10" spans="1:11" ht="16.5" customHeight="1" x14ac:dyDescent="0.3">
      <c r="A10" s="9">
        <v>7</v>
      </c>
      <c r="B10" s="9" t="s">
        <v>238</v>
      </c>
      <c r="C10" s="294" t="s">
        <v>274</v>
      </c>
      <c r="D10" s="296" t="s">
        <v>239</v>
      </c>
      <c r="E10" s="9" t="s">
        <v>354</v>
      </c>
      <c r="F10" s="8" t="s">
        <v>216</v>
      </c>
      <c r="G10" s="123" t="s">
        <v>222</v>
      </c>
      <c r="H10" s="123" t="s">
        <v>369</v>
      </c>
      <c r="I10" s="28" t="str">
        <f t="shared" si="0"/>
        <v>BE11</v>
      </c>
      <c r="J10" s="31">
        <v>11</v>
      </c>
      <c r="K10" s="4" t="s">
        <v>250</v>
      </c>
    </row>
    <row r="11" spans="1:11" ht="16.5" customHeight="1" x14ac:dyDescent="0.3">
      <c r="A11" s="9">
        <v>8</v>
      </c>
      <c r="B11" s="32" t="s">
        <v>219</v>
      </c>
      <c r="C11" s="301"/>
      <c r="D11" s="297"/>
      <c r="E11" s="32"/>
      <c r="F11" s="28"/>
      <c r="G11" s="28"/>
      <c r="H11" s="45"/>
      <c r="I11" s="28"/>
      <c r="J11" s="45" t="s">
        <v>235</v>
      </c>
      <c r="K11" s="46"/>
    </row>
    <row r="12" spans="1:11" x14ac:dyDescent="0.3">
      <c r="A12" s="9">
        <v>9</v>
      </c>
      <c r="B12" s="9" t="s">
        <v>240</v>
      </c>
      <c r="C12" s="301"/>
      <c r="D12" s="297"/>
      <c r="E12" s="9" t="s">
        <v>240</v>
      </c>
      <c r="F12" s="8" t="s">
        <v>216</v>
      </c>
      <c r="G12" s="123" t="s">
        <v>363</v>
      </c>
      <c r="H12" s="123" t="s">
        <v>358</v>
      </c>
      <c r="I12" s="28" t="str">
        <f t="shared" si="0"/>
        <v>PQ11</v>
      </c>
      <c r="J12" s="31">
        <v>16</v>
      </c>
      <c r="K12" s="4" t="s">
        <v>251</v>
      </c>
    </row>
    <row r="13" spans="1:11" x14ac:dyDescent="0.3">
      <c r="A13" s="9">
        <v>10</v>
      </c>
      <c r="B13" s="32" t="s">
        <v>219</v>
      </c>
      <c r="C13" s="301"/>
      <c r="D13" s="297"/>
      <c r="E13" s="32"/>
      <c r="F13" s="28"/>
      <c r="G13" s="28"/>
      <c r="H13" s="45"/>
      <c r="I13" s="45"/>
      <c r="J13" s="45" t="s">
        <v>237</v>
      </c>
      <c r="K13" s="32"/>
    </row>
    <row r="14" spans="1:11" x14ac:dyDescent="0.3">
      <c r="A14" s="9">
        <v>11</v>
      </c>
      <c r="B14" s="9" t="s">
        <v>241</v>
      </c>
      <c r="C14" s="301"/>
      <c r="D14" s="297"/>
      <c r="E14" s="9" t="s">
        <v>241</v>
      </c>
      <c r="F14" s="8" t="s">
        <v>216</v>
      </c>
      <c r="G14" s="123" t="s">
        <v>223</v>
      </c>
      <c r="H14" s="123" t="s">
        <v>359</v>
      </c>
      <c r="I14" s="28" t="str">
        <f t="shared" ref="I14" si="1">IF(ISBLANK(H14)=TRUE,G14,H14)</f>
        <v>SP11</v>
      </c>
      <c r="J14" s="31">
        <v>21</v>
      </c>
      <c r="K14" s="4" t="s">
        <v>252</v>
      </c>
    </row>
    <row r="15" spans="1:11" x14ac:dyDescent="0.3">
      <c r="A15" s="9">
        <v>12</v>
      </c>
      <c r="B15" s="32" t="s">
        <v>219</v>
      </c>
      <c r="C15" s="301"/>
      <c r="D15" s="297"/>
      <c r="E15" s="32"/>
      <c r="F15" s="28"/>
      <c r="G15" s="28"/>
      <c r="H15" s="45"/>
      <c r="I15" s="45"/>
      <c r="J15" s="45" t="s">
        <v>224</v>
      </c>
      <c r="K15" s="32"/>
    </row>
    <row r="16" spans="1:11" x14ac:dyDescent="0.3">
      <c r="A16" s="9">
        <v>13</v>
      </c>
      <c r="B16" s="9" t="s">
        <v>242</v>
      </c>
      <c r="C16" s="301"/>
      <c r="D16" s="297"/>
      <c r="E16" s="9" t="s">
        <v>355</v>
      </c>
      <c r="F16" s="8" t="s">
        <v>216</v>
      </c>
      <c r="G16" s="123" t="s">
        <v>225</v>
      </c>
      <c r="H16" s="123" t="s">
        <v>373</v>
      </c>
      <c r="I16" s="28" t="str">
        <f t="shared" ref="I16" si="2">IF(ISBLANK(H16)=TRUE,G16,H16)</f>
        <v>BIM1</v>
      </c>
      <c r="J16" s="31">
        <v>25</v>
      </c>
      <c r="K16" s="4" t="s">
        <v>253</v>
      </c>
    </row>
    <row r="17" spans="1:11" x14ac:dyDescent="0.3">
      <c r="A17" s="9">
        <v>14</v>
      </c>
      <c r="B17" s="32" t="s">
        <v>219</v>
      </c>
      <c r="C17" s="301"/>
      <c r="D17" s="297"/>
      <c r="E17" s="32"/>
      <c r="F17" s="28"/>
      <c r="G17" s="28"/>
      <c r="H17" s="45"/>
      <c r="I17" s="45"/>
      <c r="J17" s="45" t="s">
        <v>226</v>
      </c>
      <c r="K17" s="32"/>
    </row>
    <row r="18" spans="1:11" x14ac:dyDescent="0.3">
      <c r="A18" s="9">
        <v>15</v>
      </c>
      <c r="B18" s="9" t="s">
        <v>243</v>
      </c>
      <c r="C18" s="301"/>
      <c r="D18" s="297"/>
      <c r="E18" s="9" t="s">
        <v>243</v>
      </c>
      <c r="F18" s="8" t="s">
        <v>216</v>
      </c>
      <c r="G18" s="123" t="s">
        <v>227</v>
      </c>
      <c r="H18" s="123" t="s">
        <v>370</v>
      </c>
      <c r="I18" s="28" t="str">
        <f t="shared" ref="I18" si="3">IF(ISBLANK(H18)=TRUE,G18,H18)</f>
        <v>GE21</v>
      </c>
      <c r="J18" s="31">
        <v>29</v>
      </c>
      <c r="K18" s="4" t="s">
        <v>254</v>
      </c>
    </row>
    <row r="19" spans="1:11" x14ac:dyDescent="0.3">
      <c r="A19" s="9">
        <v>16</v>
      </c>
      <c r="B19" s="32" t="s">
        <v>219</v>
      </c>
      <c r="C19" s="301"/>
      <c r="D19" s="297"/>
      <c r="E19" s="32"/>
      <c r="F19" s="28"/>
      <c r="G19" s="28"/>
      <c r="H19" s="45"/>
      <c r="I19" s="45"/>
      <c r="J19" s="45" t="s">
        <v>228</v>
      </c>
      <c r="K19" s="32"/>
    </row>
    <row r="20" spans="1:11" x14ac:dyDescent="0.3">
      <c r="A20" s="9">
        <v>17</v>
      </c>
      <c r="B20" s="71" t="s">
        <v>192</v>
      </c>
      <c r="C20" s="301"/>
      <c r="D20" s="297"/>
      <c r="E20" s="71" t="s">
        <v>192</v>
      </c>
      <c r="F20" s="8" t="s">
        <v>216</v>
      </c>
      <c r="G20" s="123" t="s">
        <v>229</v>
      </c>
      <c r="H20" s="123" t="s">
        <v>357</v>
      </c>
      <c r="I20" s="28" t="str">
        <f t="shared" ref="I20" si="4">IF(ISBLANK(H20)=TRUE,G20,H20)</f>
        <v>MS71</v>
      </c>
      <c r="J20" s="31">
        <v>36</v>
      </c>
      <c r="K20" s="4" t="s">
        <v>255</v>
      </c>
    </row>
    <row r="21" spans="1:11" x14ac:dyDescent="0.3">
      <c r="A21" s="9">
        <v>18</v>
      </c>
      <c r="B21" s="32" t="s">
        <v>219</v>
      </c>
      <c r="C21" s="301"/>
      <c r="D21" s="297"/>
      <c r="E21" s="32"/>
      <c r="F21" s="28"/>
      <c r="G21" s="28"/>
      <c r="H21" s="45"/>
      <c r="I21" s="45"/>
      <c r="J21" s="45" t="s">
        <v>230</v>
      </c>
      <c r="K21" s="32"/>
    </row>
    <row r="22" spans="1:11" x14ac:dyDescent="0.3">
      <c r="A22" s="9">
        <v>19</v>
      </c>
      <c r="B22" s="9" t="s">
        <v>244</v>
      </c>
      <c r="C22" s="301"/>
      <c r="D22" s="297"/>
      <c r="E22" s="9" t="s">
        <v>91</v>
      </c>
      <c r="F22" s="8" t="s">
        <v>216</v>
      </c>
      <c r="G22" s="123" t="s">
        <v>231</v>
      </c>
      <c r="H22" s="123" t="s">
        <v>374</v>
      </c>
      <c r="I22" s="28" t="str">
        <f t="shared" ref="I22:I24" si="5">IF(ISBLANK(H22)=TRUE,G22,H22)</f>
        <v>WO11</v>
      </c>
      <c r="J22" s="31">
        <v>41</v>
      </c>
      <c r="K22" s="21" t="s">
        <v>256</v>
      </c>
    </row>
    <row r="23" spans="1:11" x14ac:dyDescent="0.3">
      <c r="A23" s="9">
        <v>20</v>
      </c>
      <c r="B23" s="9" t="s">
        <v>245</v>
      </c>
      <c r="C23" s="301"/>
      <c r="D23" s="297"/>
      <c r="E23" s="9" t="s">
        <v>91</v>
      </c>
      <c r="F23" s="8" t="s">
        <v>216</v>
      </c>
      <c r="G23" s="123" t="s">
        <v>231</v>
      </c>
      <c r="H23" s="123" t="s">
        <v>368</v>
      </c>
      <c r="I23" s="28" t="str">
        <f t="shared" si="5"/>
        <v>WO12</v>
      </c>
      <c r="J23" s="31">
        <v>42</v>
      </c>
      <c r="K23" s="21" t="s">
        <v>257</v>
      </c>
    </row>
    <row r="24" spans="1:11" x14ac:dyDescent="0.3">
      <c r="A24" s="9">
        <v>21</v>
      </c>
      <c r="B24" s="9" t="s">
        <v>246</v>
      </c>
      <c r="C24" s="301"/>
      <c r="D24" s="297"/>
      <c r="E24" s="9" t="s">
        <v>91</v>
      </c>
      <c r="F24" s="8" t="s">
        <v>216</v>
      </c>
      <c r="G24" s="123" t="s">
        <v>231</v>
      </c>
      <c r="H24" s="123" t="s">
        <v>380</v>
      </c>
      <c r="I24" s="28" t="str">
        <f t="shared" si="5"/>
        <v>WO13</v>
      </c>
      <c r="J24" s="31">
        <v>43</v>
      </c>
      <c r="K24" s="21" t="s">
        <v>258</v>
      </c>
    </row>
    <row r="25" spans="1:11" x14ac:dyDescent="0.3">
      <c r="A25" s="9">
        <v>22</v>
      </c>
      <c r="B25" s="32" t="s">
        <v>219</v>
      </c>
      <c r="C25" s="295"/>
      <c r="D25" s="298"/>
      <c r="E25" s="32"/>
      <c r="F25" s="28"/>
      <c r="G25" s="28"/>
      <c r="H25" s="45"/>
      <c r="I25" s="45"/>
      <c r="J25" s="45" t="s">
        <v>232</v>
      </c>
      <c r="K25" s="32"/>
    </row>
    <row r="26" spans="1:11" ht="16.5" customHeight="1" x14ac:dyDescent="0.3">
      <c r="A26" s="9">
        <v>23</v>
      </c>
      <c r="B26" s="9" t="s">
        <v>247</v>
      </c>
      <c r="C26" s="294" t="s">
        <v>261</v>
      </c>
      <c r="D26" s="296" t="s">
        <v>262</v>
      </c>
      <c r="E26" s="9" t="s">
        <v>247</v>
      </c>
      <c r="F26" s="8" t="s">
        <v>216</v>
      </c>
      <c r="G26" s="123" t="s">
        <v>233</v>
      </c>
      <c r="H26" s="123" t="s">
        <v>371</v>
      </c>
      <c r="I26" s="28" t="str">
        <f t="shared" ref="I26" si="6">IF(ISBLANK(H26)=TRUE,G26,H26)</f>
        <v>PS91</v>
      </c>
      <c r="J26" s="31">
        <v>46</v>
      </c>
      <c r="K26" s="4" t="s">
        <v>259</v>
      </c>
    </row>
    <row r="27" spans="1:11" ht="16.5" customHeight="1" x14ac:dyDescent="0.3">
      <c r="A27" s="9">
        <v>24</v>
      </c>
      <c r="B27" s="32" t="s">
        <v>219</v>
      </c>
      <c r="C27" s="295"/>
      <c r="D27" s="297"/>
      <c r="E27" s="32"/>
      <c r="F27" s="28"/>
      <c r="G27" s="28"/>
      <c r="H27" s="45"/>
      <c r="I27" s="45"/>
      <c r="J27" s="45" t="s">
        <v>234</v>
      </c>
      <c r="K27" s="32"/>
    </row>
    <row r="28" spans="1:11" ht="16.5" customHeight="1" x14ac:dyDescent="0.3">
      <c r="A28" s="9">
        <v>25</v>
      </c>
      <c r="B28" s="9" t="s">
        <v>320</v>
      </c>
      <c r="C28" s="294" t="s">
        <v>263</v>
      </c>
      <c r="D28" s="297"/>
      <c r="E28" s="9" t="s">
        <v>314</v>
      </c>
      <c r="F28" s="8" t="s">
        <v>216</v>
      </c>
      <c r="G28" s="123" t="s">
        <v>362</v>
      </c>
      <c r="H28" s="123" t="s">
        <v>372</v>
      </c>
      <c r="I28" s="28" t="str">
        <f t="shared" ref="I28:I30" si="7">IF(ISBLANK(H28)=TRUE,G28,H28)</f>
        <v>VMS1</v>
      </c>
      <c r="J28" s="31">
        <v>49</v>
      </c>
      <c r="K28" s="4" t="s">
        <v>260</v>
      </c>
    </row>
    <row r="29" spans="1:11" ht="16.5" customHeight="1" x14ac:dyDescent="0.3">
      <c r="A29" s="9">
        <v>26</v>
      </c>
      <c r="B29" s="32" t="s">
        <v>219</v>
      </c>
      <c r="C29" s="295"/>
      <c r="D29" s="298"/>
      <c r="E29" s="32"/>
      <c r="F29" s="28"/>
      <c r="G29" s="28"/>
      <c r="H29" s="45"/>
      <c r="I29" s="45"/>
      <c r="J29" s="45">
        <v>50</v>
      </c>
      <c r="K29" s="32"/>
    </row>
    <row r="30" spans="1:11" ht="24" x14ac:dyDescent="0.3">
      <c r="A30" s="9">
        <v>27</v>
      </c>
      <c r="B30" s="9" t="s">
        <v>453</v>
      </c>
      <c r="C30" s="186" t="s">
        <v>452</v>
      </c>
      <c r="D30" s="187" t="s">
        <v>461</v>
      </c>
      <c r="E30" s="185" t="s">
        <v>450</v>
      </c>
      <c r="F30" s="8" t="s">
        <v>216</v>
      </c>
      <c r="G30" s="123" t="s">
        <v>455</v>
      </c>
      <c r="H30" s="123" t="s">
        <v>456</v>
      </c>
      <c r="I30" s="28" t="str">
        <f t="shared" si="7"/>
        <v>SF11</v>
      </c>
      <c r="J30" s="45">
        <v>51</v>
      </c>
      <c r="K30" s="4" t="s">
        <v>454</v>
      </c>
    </row>
    <row r="32" spans="1:11" x14ac:dyDescent="0.3">
      <c r="B32" s="43"/>
      <c r="C32" s="43"/>
      <c r="D32" s="43"/>
    </row>
    <row r="33" spans="2:4" x14ac:dyDescent="0.3">
      <c r="B33" s="43"/>
      <c r="C33" s="43"/>
      <c r="D33" s="43"/>
    </row>
    <row r="35" spans="2:4" x14ac:dyDescent="0.3">
      <c r="B35" s="43"/>
      <c r="C35" s="43"/>
      <c r="D35" s="43"/>
    </row>
    <row r="36" spans="2:4" x14ac:dyDescent="0.3">
      <c r="B36" s="43"/>
      <c r="C36" s="43"/>
      <c r="D36" s="43"/>
    </row>
    <row r="37" spans="2:4" x14ac:dyDescent="0.3">
      <c r="B37" s="43"/>
      <c r="C37" s="43"/>
      <c r="D37" s="43"/>
    </row>
  </sheetData>
  <sortState ref="A4:K32">
    <sortCondition ref="J4:J32"/>
  </sortState>
  <mergeCells count="15">
    <mergeCell ref="B3:B4"/>
    <mergeCell ref="A3:A4"/>
    <mergeCell ref="J3:J4"/>
    <mergeCell ref="F3:I3"/>
    <mergeCell ref="D3:D4"/>
    <mergeCell ref="C3:C4"/>
    <mergeCell ref="C26:C27"/>
    <mergeCell ref="D26:D29"/>
    <mergeCell ref="C28:C29"/>
    <mergeCell ref="D5:D9"/>
    <mergeCell ref="K3:K4"/>
    <mergeCell ref="E3:E4"/>
    <mergeCell ref="C5:C9"/>
    <mergeCell ref="C10:C25"/>
    <mergeCell ref="D10:D25"/>
  </mergeCells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27"/>
  <sheetViews>
    <sheetView workbookViewId="0">
      <selection activeCell="G25" sqref="G25"/>
    </sheetView>
  </sheetViews>
  <sheetFormatPr defaultRowHeight="16.5" outlineLevelCol="1" x14ac:dyDescent="0.3"/>
  <cols>
    <col min="1" max="1" width="6.375" bestFit="1" customWidth="1"/>
    <col min="2" max="2" width="17.625" customWidth="1"/>
    <col min="3" max="3" width="4.75" bestFit="1" customWidth="1"/>
    <col min="4" max="4" width="25.75" customWidth="1"/>
    <col min="5" max="5" width="8" customWidth="1"/>
    <col min="6" max="6" width="7" customWidth="1"/>
    <col min="7" max="8" width="6.375" customWidth="1"/>
    <col min="9" max="9" width="7.375" customWidth="1"/>
    <col min="10" max="10" width="7.875" customWidth="1"/>
    <col min="11" max="11" width="9.5" style="14" customWidth="1" outlineLevel="1"/>
    <col min="12" max="12" width="6.875" customWidth="1" outlineLevel="1"/>
    <col min="13" max="13" width="4.375" customWidth="1" outlineLevel="1"/>
    <col min="14" max="14" width="9.5" customWidth="1" outlineLevel="1"/>
    <col min="15" max="15" width="6.875" customWidth="1" outlineLevel="1"/>
    <col min="16" max="16" width="4.375" customWidth="1" outlineLevel="1"/>
    <col min="17" max="17" width="9.625" hidden="1" customWidth="1" outlineLevel="1"/>
    <col min="18" max="18" width="6.875" hidden="1" customWidth="1" outlineLevel="1"/>
    <col min="19" max="19" width="4.375" hidden="1" customWidth="1" outlineLevel="1"/>
    <col min="20" max="20" width="9.75" customWidth="1" outlineLevel="1"/>
    <col min="21" max="21" width="6.875" customWidth="1" outlineLevel="1"/>
    <col min="22" max="22" width="4.375" customWidth="1" outlineLevel="1"/>
    <col min="23" max="23" width="30.5" customWidth="1"/>
  </cols>
  <sheetData>
    <row r="2" spans="1:23" x14ac:dyDescent="0.3">
      <c r="B2" s="17" t="s">
        <v>0</v>
      </c>
      <c r="C2" s="17" t="s">
        <v>21</v>
      </c>
      <c r="D2" s="17" t="s">
        <v>22</v>
      </c>
      <c r="E2" s="17"/>
      <c r="K2"/>
    </row>
    <row r="3" spans="1:23" x14ac:dyDescent="0.3">
      <c r="B3" s="307" t="s">
        <v>32</v>
      </c>
      <c r="C3" s="3" t="s">
        <v>1</v>
      </c>
      <c r="D3" s="1" t="s">
        <v>2</v>
      </c>
      <c r="E3" s="1"/>
      <c r="K3"/>
    </row>
    <row r="4" spans="1:23" x14ac:dyDescent="0.3">
      <c r="B4" s="307"/>
      <c r="C4" s="2" t="s">
        <v>3</v>
      </c>
      <c r="D4" s="1" t="s">
        <v>356</v>
      </c>
      <c r="E4" s="1"/>
      <c r="K4"/>
    </row>
    <row r="5" spans="1:23" x14ac:dyDescent="0.3">
      <c r="B5" s="316" t="s">
        <v>27</v>
      </c>
      <c r="C5" s="3" t="s">
        <v>26</v>
      </c>
      <c r="D5" s="1" t="s">
        <v>25</v>
      </c>
      <c r="E5" s="1"/>
      <c r="K5"/>
    </row>
    <row r="6" spans="1:23" ht="27" x14ac:dyDescent="0.3">
      <c r="B6" s="317"/>
      <c r="C6" s="2" t="s">
        <v>13</v>
      </c>
      <c r="D6" s="18" t="s">
        <v>697</v>
      </c>
      <c r="E6" s="1"/>
      <c r="K6"/>
    </row>
    <row r="7" spans="1:23" x14ac:dyDescent="0.3">
      <c r="B7" s="2"/>
      <c r="C7" s="2"/>
      <c r="D7" s="4"/>
      <c r="E7" s="4"/>
      <c r="K7"/>
    </row>
    <row r="9" spans="1:23" ht="16.5" customHeight="1" x14ac:dyDescent="0.3">
      <c r="A9" s="299" t="s">
        <v>4</v>
      </c>
      <c r="B9" s="299" t="s">
        <v>6</v>
      </c>
      <c r="C9" s="302" t="s">
        <v>7</v>
      </c>
      <c r="D9" s="302" t="s">
        <v>8</v>
      </c>
      <c r="E9" s="299" t="s">
        <v>47</v>
      </c>
      <c r="F9" s="318" t="s">
        <v>37</v>
      </c>
      <c r="G9" s="318"/>
      <c r="H9" s="318"/>
      <c r="I9" s="318"/>
      <c r="J9" s="299" t="s">
        <v>36</v>
      </c>
      <c r="K9" s="308" t="s">
        <v>17</v>
      </c>
      <c r="L9" s="309"/>
      <c r="M9" s="309"/>
      <c r="N9" s="310" t="s">
        <v>18</v>
      </c>
      <c r="O9" s="311"/>
      <c r="P9" s="311"/>
      <c r="Q9" s="312" t="s">
        <v>19</v>
      </c>
      <c r="R9" s="313"/>
      <c r="S9" s="313"/>
      <c r="T9" s="314" t="s">
        <v>20</v>
      </c>
      <c r="U9" s="315"/>
      <c r="V9" s="315"/>
      <c r="W9" s="302" t="s">
        <v>9</v>
      </c>
    </row>
    <row r="10" spans="1:23" x14ac:dyDescent="0.3">
      <c r="A10" s="300"/>
      <c r="B10" s="300"/>
      <c r="C10" s="303"/>
      <c r="D10" s="303"/>
      <c r="E10" s="300"/>
      <c r="F10" s="30" t="s">
        <v>33</v>
      </c>
      <c r="G10" s="30" t="s">
        <v>34</v>
      </c>
      <c r="H10" s="30" t="s">
        <v>43</v>
      </c>
      <c r="I10" s="30" t="s">
        <v>35</v>
      </c>
      <c r="J10" s="300"/>
      <c r="K10" s="36" t="s">
        <v>38</v>
      </c>
      <c r="L10" s="36" t="s">
        <v>10</v>
      </c>
      <c r="M10" s="35" t="s">
        <v>11</v>
      </c>
      <c r="N10" s="36" t="s">
        <v>38</v>
      </c>
      <c r="O10" s="36" t="s">
        <v>10</v>
      </c>
      <c r="P10" s="35" t="s">
        <v>11</v>
      </c>
      <c r="Q10" s="36" t="s">
        <v>38</v>
      </c>
      <c r="R10" s="36" t="s">
        <v>10</v>
      </c>
      <c r="S10" s="35" t="s">
        <v>11</v>
      </c>
      <c r="T10" s="36" t="s">
        <v>38</v>
      </c>
      <c r="U10" s="36" t="s">
        <v>10</v>
      </c>
      <c r="V10" s="35" t="s">
        <v>11</v>
      </c>
      <c r="W10" s="303"/>
    </row>
    <row r="11" spans="1:23" x14ac:dyDescent="0.3">
      <c r="A11" s="65" t="s">
        <v>387</v>
      </c>
      <c r="B11" s="5" t="s">
        <v>273</v>
      </c>
      <c r="C11" s="125" t="s">
        <v>24</v>
      </c>
      <c r="D11" s="33" t="s">
        <v>409</v>
      </c>
      <c r="E11" s="10" t="str">
        <f>VLOOKUP(D11,'Domain별 코드 체계'!$B$5:$J$29,7,0)</f>
        <v>SV11</v>
      </c>
      <c r="F11" s="8">
        <v>1</v>
      </c>
      <c r="G11" s="8">
        <v>1</v>
      </c>
      <c r="H11" s="31">
        <v>1</v>
      </c>
      <c r="I11" s="8">
        <v>1</v>
      </c>
      <c r="J11" s="28" t="str">
        <f t="shared" ref="J11:J16" si="0">F11&amp;G11&amp;H11&amp;I11</f>
        <v>1111</v>
      </c>
      <c r="K11" s="15" t="str">
        <f t="shared" ref="K11:K22" si="1">CONCATENATE("P-",E11,"-",C11)</f>
        <v>P-SV11-O</v>
      </c>
      <c r="L11" s="6">
        <v>2</v>
      </c>
      <c r="M11" s="15">
        <v>2</v>
      </c>
      <c r="N11" s="15" t="str">
        <f t="shared" ref="N11:N22" si="2">CONCATENATE("T-",E11,"-",C11)</f>
        <v>T-SV11-O</v>
      </c>
      <c r="O11" s="15">
        <v>1</v>
      </c>
      <c r="P11" s="16">
        <v>1</v>
      </c>
      <c r="Q11" s="15" t="str">
        <f t="shared" ref="Q11:Q22" si="3">CONCATENATE("V-",E11,"-",C11)</f>
        <v>V-SV11-O</v>
      </c>
      <c r="R11" s="15">
        <v>1</v>
      </c>
      <c r="S11" s="16">
        <v>2</v>
      </c>
      <c r="T11" s="15" t="str">
        <f t="shared" ref="T11:T22" si="4">CONCATENATE("D-",E11,"-",C11)</f>
        <v>D-SV11-O</v>
      </c>
      <c r="U11" s="6">
        <v>2</v>
      </c>
      <c r="V11" s="15">
        <v>2</v>
      </c>
      <c r="W11" s="4"/>
    </row>
    <row r="12" spans="1:23" x14ac:dyDescent="0.3">
      <c r="A12" s="140" t="s">
        <v>387</v>
      </c>
      <c r="B12" s="5" t="s">
        <v>273</v>
      </c>
      <c r="C12" s="125" t="s">
        <v>1</v>
      </c>
      <c r="D12" s="33" t="s">
        <v>397</v>
      </c>
      <c r="E12" s="10" t="str">
        <f>VLOOKUP(D12,'Domain별 코드 체계'!$B$5:$J$29,7,0)</f>
        <v>SV12</v>
      </c>
      <c r="F12" s="8">
        <v>1</v>
      </c>
      <c r="G12" s="8">
        <v>1</v>
      </c>
      <c r="H12" s="31">
        <v>1</v>
      </c>
      <c r="I12" s="8">
        <v>2</v>
      </c>
      <c r="J12" s="28" t="str">
        <f t="shared" si="0"/>
        <v>1112</v>
      </c>
      <c r="K12" s="15" t="str">
        <f t="shared" si="1"/>
        <v>P-SV12-O</v>
      </c>
      <c r="L12" s="6">
        <v>2</v>
      </c>
      <c r="M12" s="15">
        <v>1</v>
      </c>
      <c r="N12" s="15" t="str">
        <f t="shared" si="2"/>
        <v>T-SV12-O</v>
      </c>
      <c r="O12" s="15">
        <v>1</v>
      </c>
      <c r="P12" s="16">
        <v>1</v>
      </c>
      <c r="Q12" s="15" t="str">
        <f t="shared" si="3"/>
        <v>V-SV12-O</v>
      </c>
      <c r="R12" s="15">
        <v>1</v>
      </c>
      <c r="S12" s="16">
        <v>3</v>
      </c>
      <c r="T12" s="15" t="str">
        <f t="shared" si="4"/>
        <v>D-SV12-O</v>
      </c>
      <c r="U12" s="6">
        <v>2</v>
      </c>
      <c r="V12" s="15">
        <v>1</v>
      </c>
      <c r="W12" s="4"/>
    </row>
    <row r="13" spans="1:23" x14ac:dyDescent="0.3">
      <c r="A13" s="140" t="s">
        <v>387</v>
      </c>
      <c r="B13" s="5" t="s">
        <v>273</v>
      </c>
      <c r="C13" s="125" t="s">
        <v>1</v>
      </c>
      <c r="D13" s="33" t="s">
        <v>410</v>
      </c>
      <c r="E13" s="10" t="str">
        <f>VLOOKUP(D13,'Domain별 코드 체계'!$B$5:$J$29,7,0)</f>
        <v>SV13</v>
      </c>
      <c r="F13" s="8">
        <v>1</v>
      </c>
      <c r="G13" s="8">
        <v>1</v>
      </c>
      <c r="H13" s="31">
        <v>1</v>
      </c>
      <c r="I13" s="8">
        <v>3</v>
      </c>
      <c r="J13" s="28" t="str">
        <f t="shared" si="0"/>
        <v>1113</v>
      </c>
      <c r="K13" s="15" t="str">
        <f t="shared" si="1"/>
        <v>P-SV13-O</v>
      </c>
      <c r="L13" s="6">
        <v>2</v>
      </c>
      <c r="M13" s="15">
        <v>1</v>
      </c>
      <c r="N13" s="15" t="str">
        <f t="shared" si="2"/>
        <v>T-SV13-O</v>
      </c>
      <c r="O13" s="15">
        <v>1</v>
      </c>
      <c r="P13" s="16">
        <v>1</v>
      </c>
      <c r="Q13" s="15" t="str">
        <f t="shared" si="3"/>
        <v>V-SV13-O</v>
      </c>
      <c r="R13" s="15">
        <v>1</v>
      </c>
      <c r="S13" s="16">
        <v>2</v>
      </c>
      <c r="T13" s="15" t="str">
        <f t="shared" si="4"/>
        <v>D-SV13-O</v>
      </c>
      <c r="U13" s="6">
        <v>2</v>
      </c>
      <c r="V13" s="15">
        <v>1</v>
      </c>
      <c r="W13" s="4"/>
    </row>
    <row r="14" spans="1:23" x14ac:dyDescent="0.3">
      <c r="A14" s="122" t="s">
        <v>388</v>
      </c>
      <c r="B14" s="5" t="s">
        <v>458</v>
      </c>
      <c r="C14" s="125" t="s">
        <v>1</v>
      </c>
      <c r="D14" s="34" t="s">
        <v>411</v>
      </c>
      <c r="E14" s="10" t="str">
        <f>VLOOKUP(D14,'Domain별 코드 체계'!$B$5:$J$29,7,0)</f>
        <v>SV14</v>
      </c>
      <c r="F14" s="8">
        <v>1</v>
      </c>
      <c r="G14" s="8">
        <v>1</v>
      </c>
      <c r="H14" s="31">
        <v>1</v>
      </c>
      <c r="I14" s="8">
        <v>4</v>
      </c>
      <c r="J14" s="28" t="str">
        <f t="shared" si="0"/>
        <v>1114</v>
      </c>
      <c r="K14" s="15" t="str">
        <f t="shared" si="1"/>
        <v>P-SV14-O</v>
      </c>
      <c r="L14" s="6">
        <v>2</v>
      </c>
      <c r="M14" s="15">
        <v>1</v>
      </c>
      <c r="N14" s="15" t="str">
        <f t="shared" si="2"/>
        <v>T-SV14-O</v>
      </c>
      <c r="O14" s="15">
        <v>1</v>
      </c>
      <c r="P14" s="16">
        <v>1</v>
      </c>
      <c r="Q14" s="15" t="str">
        <f t="shared" si="3"/>
        <v>V-SV14-O</v>
      </c>
      <c r="R14" s="15">
        <v>1</v>
      </c>
      <c r="S14" s="16">
        <v>2</v>
      </c>
      <c r="T14" s="15" t="str">
        <f t="shared" si="4"/>
        <v>D-SV14-O</v>
      </c>
      <c r="U14" s="6">
        <v>2</v>
      </c>
      <c r="V14" s="15">
        <v>1</v>
      </c>
      <c r="W14" s="4"/>
    </row>
    <row r="15" spans="1:23" x14ac:dyDescent="0.3">
      <c r="A15" s="204" t="s">
        <v>388</v>
      </c>
      <c r="B15" s="5" t="s">
        <v>458</v>
      </c>
      <c r="C15" s="125" t="s">
        <v>1</v>
      </c>
      <c r="D15" s="34" t="s">
        <v>483</v>
      </c>
      <c r="E15" s="10" t="str">
        <f>VLOOKUP(D15,'Domain별 코드 체계'!$B$5:$J$29,7,0)</f>
        <v>SV15</v>
      </c>
      <c r="F15" s="8">
        <v>1</v>
      </c>
      <c r="G15" s="8">
        <v>1</v>
      </c>
      <c r="H15" s="31">
        <v>1</v>
      </c>
      <c r="I15" s="8">
        <v>5</v>
      </c>
      <c r="J15" s="28" t="str">
        <f t="shared" ref="J15" si="5">F15&amp;G15&amp;H15&amp;I15</f>
        <v>1115</v>
      </c>
      <c r="K15" s="15" t="str">
        <f t="shared" ref="K15" si="6">CONCATENATE("P-",E15,"-",C15)</f>
        <v>P-SV15-O</v>
      </c>
      <c r="L15" s="6">
        <v>2</v>
      </c>
      <c r="M15" s="15">
        <v>1</v>
      </c>
      <c r="N15" s="15" t="str">
        <f t="shared" ref="N15" si="7">CONCATENATE("T-",E15,"-",C15)</f>
        <v>T-SV15-O</v>
      </c>
      <c r="O15" s="15">
        <v>1</v>
      </c>
      <c r="P15" s="16">
        <v>1</v>
      </c>
      <c r="Q15" s="15" t="str">
        <f t="shared" ref="Q15" si="8">CONCATENATE("V-",E15,"-",C15)</f>
        <v>V-SV15-O</v>
      </c>
      <c r="R15" s="15">
        <v>1</v>
      </c>
      <c r="S15" s="16">
        <v>2</v>
      </c>
      <c r="T15" s="15" t="str">
        <f t="shared" ref="T15" si="9">CONCATENATE("D-",E15,"-",C15)</f>
        <v>D-SV15-O</v>
      </c>
      <c r="U15" s="6">
        <v>2</v>
      </c>
      <c r="V15" s="15">
        <v>1</v>
      </c>
      <c r="W15" s="4"/>
    </row>
    <row r="16" spans="1:23" x14ac:dyDescent="0.3">
      <c r="A16" s="8" t="s">
        <v>361</v>
      </c>
      <c r="B16" s="5" t="s">
        <v>275</v>
      </c>
      <c r="C16" s="125" t="s">
        <v>1</v>
      </c>
      <c r="D16" s="33" t="s">
        <v>264</v>
      </c>
      <c r="E16" s="10" t="str">
        <f>VLOOKUP(D16,'Domain별 코드 체계'!$B$5:$J$29,7,0)</f>
        <v>BE11</v>
      </c>
      <c r="F16" s="8">
        <v>1</v>
      </c>
      <c r="G16" s="8">
        <v>2</v>
      </c>
      <c r="H16" s="31">
        <v>3</v>
      </c>
      <c r="I16" s="8">
        <v>1</v>
      </c>
      <c r="J16" s="28" t="str">
        <f t="shared" si="0"/>
        <v>1231</v>
      </c>
      <c r="K16" s="15" t="str">
        <f t="shared" si="1"/>
        <v>P-BE11-O</v>
      </c>
      <c r="L16" s="6">
        <v>2</v>
      </c>
      <c r="M16" s="15">
        <v>2</v>
      </c>
      <c r="N16" s="15" t="str">
        <f t="shared" si="2"/>
        <v>T-BE11-O</v>
      </c>
      <c r="O16" s="15">
        <v>1</v>
      </c>
      <c r="P16" s="16">
        <v>1</v>
      </c>
      <c r="Q16" s="15" t="str">
        <f t="shared" si="3"/>
        <v>V-BE11-O</v>
      </c>
      <c r="R16" s="15">
        <v>1</v>
      </c>
      <c r="S16" s="16">
        <v>2</v>
      </c>
      <c r="T16" s="15" t="str">
        <f t="shared" si="4"/>
        <v>D-BE11-O</v>
      </c>
      <c r="U16" s="6"/>
      <c r="V16" s="7"/>
      <c r="W16" s="4"/>
    </row>
    <row r="17" spans="1:23" x14ac:dyDescent="0.3">
      <c r="A17" s="8" t="s">
        <v>236</v>
      </c>
      <c r="B17" s="5" t="s">
        <v>275</v>
      </c>
      <c r="C17" s="125" t="s">
        <v>1</v>
      </c>
      <c r="D17" s="33" t="s">
        <v>265</v>
      </c>
      <c r="E17" s="10" t="str">
        <f>VLOOKUP(D17,'Domain별 코드 체계'!$B$5:$J$29,7,0)</f>
        <v>PQ11</v>
      </c>
      <c r="F17" s="8">
        <v>1</v>
      </c>
      <c r="G17" s="8">
        <v>2</v>
      </c>
      <c r="H17" s="31">
        <v>2</v>
      </c>
      <c r="I17" s="8">
        <v>1</v>
      </c>
      <c r="J17" s="28" t="str">
        <f t="shared" ref="J17:J19" si="10">F17&amp;G17&amp;H17&amp;I17</f>
        <v>1221</v>
      </c>
      <c r="K17" s="15" t="str">
        <f t="shared" si="1"/>
        <v>P-PQ11-O</v>
      </c>
      <c r="L17" s="6">
        <v>2</v>
      </c>
      <c r="M17" s="15">
        <v>3</v>
      </c>
      <c r="N17" s="15" t="str">
        <f t="shared" si="2"/>
        <v>T-PQ11-O</v>
      </c>
      <c r="O17" s="15">
        <v>1</v>
      </c>
      <c r="P17" s="16">
        <v>1</v>
      </c>
      <c r="Q17" s="15" t="str">
        <f t="shared" si="3"/>
        <v>V-PQ11-O</v>
      </c>
      <c r="R17" s="15">
        <v>1</v>
      </c>
      <c r="S17" s="16">
        <v>2</v>
      </c>
      <c r="T17" s="15" t="str">
        <f t="shared" si="4"/>
        <v>D-PQ11-O</v>
      </c>
      <c r="U17" s="6"/>
      <c r="V17" s="7"/>
      <c r="W17" s="4"/>
    </row>
    <row r="18" spans="1:23" x14ac:dyDescent="0.3">
      <c r="A18" s="8" t="s">
        <v>223</v>
      </c>
      <c r="B18" s="5" t="s">
        <v>275</v>
      </c>
      <c r="C18" s="125" t="s">
        <v>1</v>
      </c>
      <c r="D18" s="33" t="s">
        <v>266</v>
      </c>
      <c r="E18" s="10" t="str">
        <f>VLOOKUP(D18,'Domain별 코드 체계'!$B$5:$J$29,7,0)</f>
        <v>SP11</v>
      </c>
      <c r="F18" s="8">
        <v>1</v>
      </c>
      <c r="G18" s="8">
        <v>2</v>
      </c>
      <c r="H18" s="31">
        <v>1</v>
      </c>
      <c r="I18" s="8">
        <v>1</v>
      </c>
      <c r="J18" s="28" t="str">
        <f t="shared" si="10"/>
        <v>1211</v>
      </c>
      <c r="K18" s="15" t="str">
        <f t="shared" si="1"/>
        <v>P-SP11-O</v>
      </c>
      <c r="L18" s="6">
        <v>2</v>
      </c>
      <c r="M18" s="15">
        <v>2</v>
      </c>
      <c r="N18" s="15" t="str">
        <f t="shared" si="2"/>
        <v>T-SP11-O</v>
      </c>
      <c r="O18" s="15">
        <v>1</v>
      </c>
      <c r="P18" s="16">
        <v>1</v>
      </c>
      <c r="Q18" s="15" t="str">
        <f t="shared" si="3"/>
        <v>V-SP11-O</v>
      </c>
      <c r="R18" s="15">
        <v>1</v>
      </c>
      <c r="S18" s="16">
        <v>2</v>
      </c>
      <c r="T18" s="15" t="str">
        <f t="shared" si="4"/>
        <v>D-SP11-O</v>
      </c>
      <c r="U18" s="6"/>
      <c r="V18" s="7"/>
      <c r="W18" s="4"/>
    </row>
    <row r="19" spans="1:23" x14ac:dyDescent="0.3">
      <c r="A19" s="65" t="s">
        <v>225</v>
      </c>
      <c r="B19" s="5" t="s">
        <v>275</v>
      </c>
      <c r="C19" s="125" t="s">
        <v>1</v>
      </c>
      <c r="D19" s="33" t="s">
        <v>267</v>
      </c>
      <c r="E19" s="10" t="str">
        <f>VLOOKUP(D19,'Domain별 코드 체계'!$B$5:$J$29,7,0)</f>
        <v>BIM1</v>
      </c>
      <c r="F19" s="8">
        <v>1</v>
      </c>
      <c r="G19" s="8">
        <v>4</v>
      </c>
      <c r="H19" s="31">
        <v>1</v>
      </c>
      <c r="I19" s="8">
        <v>1</v>
      </c>
      <c r="J19" s="28" t="str">
        <f t="shared" si="10"/>
        <v>1411</v>
      </c>
      <c r="K19" s="15" t="str">
        <f t="shared" si="1"/>
        <v>P-BIM1-O</v>
      </c>
      <c r="L19" s="6">
        <v>2</v>
      </c>
      <c r="M19" s="15">
        <v>2</v>
      </c>
      <c r="N19" s="15" t="str">
        <f t="shared" si="2"/>
        <v>T-BIM1-O</v>
      </c>
      <c r="O19" s="15">
        <v>1</v>
      </c>
      <c r="P19" s="16">
        <v>1</v>
      </c>
      <c r="Q19" s="15" t="str">
        <f t="shared" si="3"/>
        <v>V-BIM1-O</v>
      </c>
      <c r="R19" s="15">
        <v>1</v>
      </c>
      <c r="S19" s="16">
        <v>2</v>
      </c>
      <c r="T19" s="15" t="str">
        <f t="shared" si="4"/>
        <v>D-BIM1-O</v>
      </c>
      <c r="U19" s="6"/>
      <c r="V19" s="7"/>
      <c r="W19" s="4"/>
    </row>
    <row r="20" spans="1:23" x14ac:dyDescent="0.3">
      <c r="A20" s="65" t="s">
        <v>227</v>
      </c>
      <c r="B20" s="5" t="s">
        <v>275</v>
      </c>
      <c r="C20" s="125" t="s">
        <v>1</v>
      </c>
      <c r="D20" s="33" t="s">
        <v>268</v>
      </c>
      <c r="E20" s="10" t="str">
        <f>VLOOKUP(D20,'Domain별 코드 체계'!$B$5:$J$29,7,0)</f>
        <v>GE21</v>
      </c>
      <c r="F20" s="8">
        <v>1</v>
      </c>
      <c r="G20" s="8">
        <v>2</v>
      </c>
      <c r="H20" s="31">
        <v>4</v>
      </c>
      <c r="I20" s="8">
        <v>1</v>
      </c>
      <c r="J20" s="28" t="str">
        <f t="shared" ref="J20" si="11">F20&amp;G20&amp;H20&amp;I20</f>
        <v>1241</v>
      </c>
      <c r="K20" s="15" t="str">
        <f t="shared" si="1"/>
        <v>P-GE21-O</v>
      </c>
      <c r="L20" s="6">
        <v>2</v>
      </c>
      <c r="M20" s="15">
        <v>3</v>
      </c>
      <c r="N20" s="15" t="str">
        <f t="shared" si="2"/>
        <v>T-GE21-O</v>
      </c>
      <c r="O20" s="15">
        <v>1</v>
      </c>
      <c r="P20" s="16">
        <v>1</v>
      </c>
      <c r="Q20" s="15" t="str">
        <f t="shared" si="3"/>
        <v>V-GE21-O</v>
      </c>
      <c r="R20" s="15">
        <v>1</v>
      </c>
      <c r="S20" s="16">
        <v>2</v>
      </c>
      <c r="T20" s="15" t="str">
        <f t="shared" si="4"/>
        <v>D-GE21-O</v>
      </c>
      <c r="U20" s="6"/>
      <c r="V20" s="7"/>
      <c r="W20" s="4"/>
    </row>
    <row r="21" spans="1:23" x14ac:dyDescent="0.3">
      <c r="A21" s="65" t="s">
        <v>229</v>
      </c>
      <c r="B21" s="5" t="s">
        <v>275</v>
      </c>
      <c r="C21" s="125" t="s">
        <v>1</v>
      </c>
      <c r="D21" s="33" t="s">
        <v>269</v>
      </c>
      <c r="E21" s="10" t="str">
        <f>VLOOKUP(D21,'Domain별 코드 체계'!$B$5:$J$29,7,0)</f>
        <v>MS71</v>
      </c>
      <c r="F21" s="8">
        <v>1</v>
      </c>
      <c r="G21" s="8">
        <v>2</v>
      </c>
      <c r="H21" s="31">
        <v>5</v>
      </c>
      <c r="I21" s="8">
        <v>1</v>
      </c>
      <c r="J21" s="28" t="str">
        <f t="shared" ref="J21" si="12">F21&amp;G21&amp;H21&amp;I21</f>
        <v>1251</v>
      </c>
      <c r="K21" s="15" t="str">
        <f t="shared" si="1"/>
        <v>P-MS71-O</v>
      </c>
      <c r="L21" s="6">
        <v>2</v>
      </c>
      <c r="M21" s="15">
        <v>2</v>
      </c>
      <c r="N21" s="15" t="str">
        <f t="shared" si="2"/>
        <v>T-MS71-O</v>
      </c>
      <c r="O21" s="15">
        <v>1</v>
      </c>
      <c r="P21" s="16">
        <v>1</v>
      </c>
      <c r="Q21" s="15" t="str">
        <f t="shared" si="3"/>
        <v>V-MS71-O</v>
      </c>
      <c r="R21" s="15">
        <v>1</v>
      </c>
      <c r="S21" s="16">
        <v>2</v>
      </c>
      <c r="T21" s="15" t="str">
        <f t="shared" si="4"/>
        <v>D-MS71-O</v>
      </c>
      <c r="U21" s="6"/>
      <c r="V21" s="7"/>
      <c r="W21" s="4"/>
    </row>
    <row r="22" spans="1:23" x14ac:dyDescent="0.3">
      <c r="A22" s="65" t="s">
        <v>231</v>
      </c>
      <c r="B22" s="5" t="s">
        <v>275</v>
      </c>
      <c r="C22" s="125" t="s">
        <v>1</v>
      </c>
      <c r="D22" s="33" t="s">
        <v>270</v>
      </c>
      <c r="E22" s="10" t="str">
        <f>VLOOKUP(D22,'Domain별 코드 체계'!$B$5:$J$29,7,0)</f>
        <v>WO11</v>
      </c>
      <c r="F22" s="8">
        <v>1</v>
      </c>
      <c r="G22" s="8">
        <v>4</v>
      </c>
      <c r="H22" s="31">
        <v>2</v>
      </c>
      <c r="I22" s="8">
        <v>1</v>
      </c>
      <c r="J22" s="28" t="str">
        <f>F22&amp;G22&amp;H22&amp;I22</f>
        <v>1421</v>
      </c>
      <c r="K22" s="15" t="str">
        <f t="shared" si="1"/>
        <v>P-WO11-O</v>
      </c>
      <c r="L22" s="6">
        <v>2</v>
      </c>
      <c r="M22" s="15">
        <v>1</v>
      </c>
      <c r="N22" s="15" t="str">
        <f t="shared" si="2"/>
        <v>T-WO11-O</v>
      </c>
      <c r="O22" s="15">
        <v>1</v>
      </c>
      <c r="P22" s="16">
        <v>1</v>
      </c>
      <c r="Q22" s="15" t="str">
        <f t="shared" si="3"/>
        <v>V-WO11-O</v>
      </c>
      <c r="R22" s="15">
        <v>1</v>
      </c>
      <c r="S22" s="16">
        <v>2</v>
      </c>
      <c r="T22" s="15" t="str">
        <f t="shared" si="4"/>
        <v>D-WO11-O</v>
      </c>
      <c r="U22" s="6"/>
      <c r="V22" s="7"/>
      <c r="W22" s="4"/>
    </row>
    <row r="23" spans="1:23" x14ac:dyDescent="0.3">
      <c r="A23" s="65" t="s">
        <v>231</v>
      </c>
      <c r="B23" s="5" t="s">
        <v>275</v>
      </c>
      <c r="C23" s="125" t="s">
        <v>1</v>
      </c>
      <c r="D23" s="33" t="s">
        <v>271</v>
      </c>
      <c r="E23" s="10" t="str">
        <f>VLOOKUP(D23,'Domain별 코드 체계'!$B$5:$J$29,7,0)</f>
        <v>WO12</v>
      </c>
      <c r="F23" s="8">
        <v>1</v>
      </c>
      <c r="G23" s="8">
        <v>4</v>
      </c>
      <c r="H23" s="31">
        <v>2</v>
      </c>
      <c r="I23" s="8">
        <v>2</v>
      </c>
      <c r="J23" s="28" t="str">
        <f t="shared" ref="J23" si="13">F23&amp;G23&amp;H23&amp;I23</f>
        <v>1422</v>
      </c>
      <c r="K23" s="15" t="str">
        <f t="shared" ref="K23" si="14">CONCATENATE("P-",E23,"-",C23)</f>
        <v>P-WO12-O</v>
      </c>
      <c r="L23" s="6">
        <v>2</v>
      </c>
      <c r="M23" s="15">
        <v>1</v>
      </c>
      <c r="N23" s="15" t="str">
        <f t="shared" ref="N23" si="15">CONCATENATE("T-",E23,"-",C23)</f>
        <v>T-WO12-O</v>
      </c>
      <c r="O23" s="15">
        <v>1</v>
      </c>
      <c r="P23" s="16">
        <v>1</v>
      </c>
      <c r="Q23" s="15" t="str">
        <f t="shared" ref="Q23" si="16">CONCATENATE("V-",E23,"-",C23)</f>
        <v>V-WO12-O</v>
      </c>
      <c r="R23" s="15">
        <v>1</v>
      </c>
      <c r="S23" s="16">
        <v>2</v>
      </c>
      <c r="T23" s="15" t="str">
        <f t="shared" ref="T23" si="17">CONCATENATE("D-",E23,"-",C23)</f>
        <v>D-WO12-O</v>
      </c>
      <c r="U23" s="6"/>
      <c r="V23" s="7"/>
      <c r="W23" s="4"/>
    </row>
    <row r="24" spans="1:23" x14ac:dyDescent="0.3">
      <c r="A24" s="65" t="s">
        <v>231</v>
      </c>
      <c r="B24" s="5" t="s">
        <v>275</v>
      </c>
      <c r="C24" s="125" t="s">
        <v>1</v>
      </c>
      <c r="D24" s="33" t="s">
        <v>272</v>
      </c>
      <c r="E24" s="10" t="str">
        <f>VLOOKUP(D24,'Domain별 코드 체계'!$B$5:$J$29,7,0)</f>
        <v>WO13</v>
      </c>
      <c r="F24" s="8">
        <v>1</v>
      </c>
      <c r="G24" s="8">
        <v>4</v>
      </c>
      <c r="H24" s="31">
        <v>2</v>
      </c>
      <c r="I24" s="8">
        <v>3</v>
      </c>
      <c r="J24" s="28" t="str">
        <f>F24&amp;G24&amp;H24&amp;I24</f>
        <v>1423</v>
      </c>
      <c r="K24" s="15" t="str">
        <f>CONCATENATE("P-",E24,"-",C24)</f>
        <v>P-WO13-O</v>
      </c>
      <c r="L24" s="6">
        <v>2</v>
      </c>
      <c r="M24" s="15">
        <v>1</v>
      </c>
      <c r="N24" s="15" t="str">
        <f>CONCATENATE("T-",E24,"-",C24)</f>
        <v>T-WO13-O</v>
      </c>
      <c r="O24" s="15">
        <v>1</v>
      </c>
      <c r="P24" s="16">
        <v>1</v>
      </c>
      <c r="Q24" s="15" t="str">
        <f>CONCATENATE("V-",E24,"-",C24)</f>
        <v>V-WO13-O</v>
      </c>
      <c r="R24" s="15">
        <v>1</v>
      </c>
      <c r="S24" s="16">
        <v>2</v>
      </c>
      <c r="T24" s="15" t="str">
        <f>CONCATENATE("D-",E24,"-",C24)</f>
        <v>D-WO13-O</v>
      </c>
      <c r="U24" s="6"/>
      <c r="V24" s="7"/>
      <c r="W24" s="4"/>
    </row>
    <row r="25" spans="1:23" x14ac:dyDescent="0.3">
      <c r="A25" s="65" t="s">
        <v>311</v>
      </c>
      <c r="B25" s="5" t="s">
        <v>315</v>
      </c>
      <c r="C25" s="125" t="s">
        <v>1</v>
      </c>
      <c r="D25" s="33" t="s">
        <v>310</v>
      </c>
      <c r="E25" s="10" t="str">
        <f>VLOOKUP(D25,'Domain별 코드 체계'!$B$5:$J$29,7,0)</f>
        <v>PS91</v>
      </c>
      <c r="F25" s="8">
        <v>1</v>
      </c>
      <c r="G25" s="8">
        <v>3</v>
      </c>
      <c r="H25" s="31">
        <v>1</v>
      </c>
      <c r="I25" s="8">
        <v>1</v>
      </c>
      <c r="J25" s="28" t="str">
        <f>F25&amp;G25&amp;H25&amp;I25</f>
        <v>1311</v>
      </c>
      <c r="K25" s="15" t="str">
        <f>CONCATENATE("P-",E25,"-",C25)</f>
        <v>P-PS91-O</v>
      </c>
      <c r="L25" s="6">
        <v>1</v>
      </c>
      <c r="M25" s="15">
        <v>1</v>
      </c>
      <c r="N25" s="15" t="str">
        <f>CONCATENATE("T-",E25,"-",C25)</f>
        <v>T-PS91-O</v>
      </c>
      <c r="O25" s="15">
        <v>1</v>
      </c>
      <c r="P25" s="16">
        <v>1</v>
      </c>
      <c r="Q25" s="15" t="str">
        <f>CONCATENATE("V-",E25,"-",C25)</f>
        <v>V-PS91-O</v>
      </c>
      <c r="R25" s="15">
        <v>1</v>
      </c>
      <c r="S25" s="16">
        <v>2</v>
      </c>
      <c r="T25" s="15" t="str">
        <f>CONCATENATE("D-",E25,"-",C25)</f>
        <v>D-PS91-O</v>
      </c>
      <c r="U25" s="6"/>
      <c r="V25" s="7"/>
      <c r="W25" s="4"/>
    </row>
    <row r="26" spans="1:23" x14ac:dyDescent="0.3">
      <c r="A26" s="65" t="s">
        <v>362</v>
      </c>
      <c r="B26" s="5" t="s">
        <v>315</v>
      </c>
      <c r="C26" s="125" t="s">
        <v>276</v>
      </c>
      <c r="D26" s="9" t="s">
        <v>321</v>
      </c>
      <c r="E26" s="10" t="str">
        <f>VLOOKUP(D26,'Domain별 코드 체계'!$B$5:$J$29,7,0)</f>
        <v>VMS1</v>
      </c>
      <c r="F26" s="8">
        <v>1</v>
      </c>
      <c r="G26" s="8">
        <v>3</v>
      </c>
      <c r="H26" s="31">
        <v>2</v>
      </c>
      <c r="I26" s="8">
        <v>1</v>
      </c>
      <c r="J26" s="28" t="str">
        <f>F26&amp;G26&amp;H26&amp;I26</f>
        <v>1321</v>
      </c>
      <c r="K26" s="15" t="str">
        <f>CONCATENATE("P-",E26,"-",C26)</f>
        <v>P-VMS1-O</v>
      </c>
      <c r="L26" s="6">
        <v>1</v>
      </c>
      <c r="M26" s="15">
        <v>1</v>
      </c>
      <c r="N26" s="15" t="str">
        <f>CONCATENATE("T-",E26,"-",C26)</f>
        <v>T-VMS1-O</v>
      </c>
      <c r="O26" s="15">
        <v>1</v>
      </c>
      <c r="P26" s="16">
        <v>1</v>
      </c>
      <c r="Q26" s="15" t="str">
        <f>CONCATENATE("V-",E26,"-",C26)</f>
        <v>V-VMS1-O</v>
      </c>
      <c r="R26" s="15">
        <v>1</v>
      </c>
      <c r="S26" s="16">
        <v>2</v>
      </c>
      <c r="T26" s="15" t="str">
        <f>CONCATENATE("D-",E26,"-",C26)</f>
        <v>D-VMS1-O</v>
      </c>
      <c r="U26" s="6"/>
      <c r="V26" s="7"/>
      <c r="W26" s="4"/>
    </row>
    <row r="27" spans="1:23" x14ac:dyDescent="0.3">
      <c r="A27" s="184" t="s">
        <v>457</v>
      </c>
      <c r="B27" s="5" t="s">
        <v>459</v>
      </c>
      <c r="C27" s="125" t="s">
        <v>1</v>
      </c>
      <c r="D27" s="9" t="s">
        <v>460</v>
      </c>
      <c r="E27" s="10" t="str">
        <f>VLOOKUP(D27,'Domain별 코드 체계'!$B$5:$J$30,7,0)</f>
        <v>SF11</v>
      </c>
      <c r="F27" s="8">
        <v>1</v>
      </c>
      <c r="G27" s="8">
        <v>1</v>
      </c>
      <c r="H27" s="31">
        <v>2</v>
      </c>
      <c r="I27" s="8">
        <v>1</v>
      </c>
      <c r="J27" s="28" t="str">
        <f>F27&amp;G27&amp;H27&amp;I27</f>
        <v>1121</v>
      </c>
      <c r="K27" s="15" t="str">
        <f>CONCATENATE("P-",E27,"-",C27)</f>
        <v>P-SF11-O</v>
      </c>
      <c r="L27" s="6">
        <v>1</v>
      </c>
      <c r="M27" s="15">
        <v>1</v>
      </c>
      <c r="N27" s="15" t="str">
        <f>CONCATENATE("T-",E27,"-",C27)</f>
        <v>T-SF11-O</v>
      </c>
      <c r="O27" s="15">
        <v>1</v>
      </c>
      <c r="P27" s="16">
        <v>1</v>
      </c>
      <c r="Q27" s="15" t="str">
        <f>CONCATENATE("V-",E27,"-",C27)</f>
        <v>V-SF11-O</v>
      </c>
      <c r="R27" s="15">
        <v>1</v>
      </c>
      <c r="S27" s="16">
        <v>2</v>
      </c>
      <c r="T27" s="15" t="str">
        <f>CONCATENATE("D-",E27,"-",C27)</f>
        <v>D-SF11-O</v>
      </c>
      <c r="U27" s="6"/>
      <c r="V27" s="7"/>
      <c r="W27" s="4"/>
    </row>
  </sheetData>
  <mergeCells count="14">
    <mergeCell ref="A9:A10"/>
    <mergeCell ref="B9:B10"/>
    <mergeCell ref="D9:D10"/>
    <mergeCell ref="C9:C10"/>
    <mergeCell ref="F9:I9"/>
    <mergeCell ref="B3:B4"/>
    <mergeCell ref="W9:W10"/>
    <mergeCell ref="K9:M9"/>
    <mergeCell ref="N9:P9"/>
    <mergeCell ref="Q9:S9"/>
    <mergeCell ref="T9:V9"/>
    <mergeCell ref="J9:J10"/>
    <mergeCell ref="E9:E10"/>
    <mergeCell ref="B5:B6"/>
  </mergeCells>
  <phoneticPr fontId="0" type="Hiragana"/>
  <dataValidations disablePrompts="1" count="1">
    <dataValidation type="list" allowBlank="1" showInputMessage="1" showErrorMessage="1" sqref="C11:C27">
      <formula1>"O,A"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9"/>
  <sheetViews>
    <sheetView tabSelected="1" topLeftCell="A4" zoomScale="90" zoomScaleNormal="90" workbookViewId="0">
      <pane ySplit="3" topLeftCell="A10" activePane="bottomLeft" state="frozen"/>
      <selection activeCell="B4" sqref="B4"/>
      <selection pane="bottomLeft" activeCell="P29" sqref="P29"/>
    </sheetView>
  </sheetViews>
  <sheetFormatPr defaultRowHeight="16.5" x14ac:dyDescent="0.3"/>
  <cols>
    <col min="1" max="1" width="4.75" style="50" bestFit="1" customWidth="1"/>
    <col min="2" max="2" width="6.375" style="50" bestFit="1" customWidth="1"/>
    <col min="3" max="3" width="4.75" style="50" bestFit="1" customWidth="1"/>
    <col min="4" max="4" width="24.875" style="51" bestFit="1" customWidth="1"/>
    <col min="5" max="6" width="9.375" style="51" bestFit="1" customWidth="1"/>
    <col min="7" max="7" width="24.875" style="51" customWidth="1"/>
    <col min="8" max="8" width="6.75" customWidth="1"/>
    <col min="9" max="9" width="5.375" bestFit="1" customWidth="1"/>
    <col min="10" max="10" width="9.875" bestFit="1" customWidth="1"/>
    <col min="11" max="11" width="6.75" style="11" customWidth="1"/>
    <col min="12" max="12" width="8.75" style="11" customWidth="1"/>
    <col min="13" max="13" width="17.75" customWidth="1"/>
    <col min="14" max="14" width="15.25" customWidth="1"/>
    <col min="15" max="15" width="17.625" customWidth="1"/>
    <col min="16" max="16" width="15.25" customWidth="1"/>
    <col min="17" max="17" width="14.25" customWidth="1"/>
    <col min="18" max="18" width="19.75" customWidth="1"/>
    <col min="19" max="19" width="14.875" customWidth="1"/>
    <col min="20" max="22" width="11.5" customWidth="1"/>
    <col min="23" max="23" width="22.5" customWidth="1"/>
    <col min="24" max="24" width="14" hidden="1" customWidth="1"/>
    <col min="25" max="25" width="9.375" hidden="1" customWidth="1"/>
    <col min="26" max="26" width="7.875" hidden="1" customWidth="1"/>
    <col min="27" max="27" width="11.375" hidden="1" customWidth="1"/>
    <col min="28" max="28" width="8.5" hidden="1" customWidth="1"/>
    <col min="29" max="29" width="9.875" hidden="1" customWidth="1"/>
    <col min="30" max="30" width="9.625" hidden="1" customWidth="1"/>
    <col min="31" max="31" width="22.125" customWidth="1"/>
    <col min="32" max="32" width="34.375" customWidth="1"/>
    <col min="33" max="33" width="8.25" hidden="1" customWidth="1"/>
    <col min="34" max="34" width="34.375" hidden="1" customWidth="1"/>
    <col min="35" max="35" width="9.625" hidden="1" customWidth="1"/>
    <col min="36" max="36" width="28.25" customWidth="1"/>
  </cols>
  <sheetData>
    <row r="1" spans="1:36" s="47" customFormat="1" x14ac:dyDescent="0.3">
      <c r="A1" s="54"/>
      <c r="B1" s="55" t="s">
        <v>90</v>
      </c>
      <c r="C1" s="54"/>
      <c r="K1" s="56"/>
      <c r="L1" s="56"/>
    </row>
    <row r="2" spans="1:36" s="47" customFormat="1" x14ac:dyDescent="0.3">
      <c r="A2" s="54"/>
      <c r="B2" s="39" t="s">
        <v>89</v>
      </c>
      <c r="C2" s="54"/>
      <c r="K2" s="56"/>
      <c r="L2" s="56">
        <f>VLOOKUP(H7,'WAS Domain'!$E$11:$I$26,5,0)</f>
        <v>1</v>
      </c>
      <c r="AE2" s="142" t="s">
        <v>382</v>
      </c>
    </row>
    <row r="3" spans="1:36" x14ac:dyDescent="0.3">
      <c r="AE3" s="142" t="s">
        <v>383</v>
      </c>
    </row>
    <row r="4" spans="1:36" x14ac:dyDescent="0.3">
      <c r="A4" s="319" t="s">
        <v>57</v>
      </c>
      <c r="B4" s="322" t="s">
        <v>54</v>
      </c>
      <c r="C4" s="319" t="s">
        <v>58</v>
      </c>
      <c r="D4" s="319" t="s">
        <v>59</v>
      </c>
      <c r="E4" s="322" t="s">
        <v>444</v>
      </c>
      <c r="F4" s="322" t="s">
        <v>445</v>
      </c>
      <c r="G4" s="323" t="s">
        <v>277</v>
      </c>
      <c r="H4" s="324"/>
      <c r="I4" s="324"/>
      <c r="J4" s="325"/>
      <c r="K4" s="323" t="s">
        <v>351</v>
      </c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5"/>
      <c r="AG4" s="327" t="s">
        <v>82</v>
      </c>
      <c r="AH4" s="328"/>
      <c r="AI4" s="329"/>
      <c r="AJ4" s="319" t="s">
        <v>63</v>
      </c>
    </row>
    <row r="5" spans="1:36" x14ac:dyDescent="0.3">
      <c r="A5" s="320"/>
      <c r="B5" s="320"/>
      <c r="C5" s="320"/>
      <c r="D5" s="320"/>
      <c r="E5" s="320"/>
      <c r="F5" s="320"/>
      <c r="G5" s="323" t="s">
        <v>81</v>
      </c>
      <c r="H5" s="324"/>
      <c r="I5" s="324"/>
      <c r="J5" s="325"/>
      <c r="K5" s="326" t="s">
        <v>61</v>
      </c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 t="s">
        <v>62</v>
      </c>
      <c r="Z5" s="326"/>
      <c r="AA5" s="326"/>
      <c r="AB5" s="326"/>
      <c r="AC5" s="326"/>
      <c r="AD5" s="326" t="s">
        <v>55</v>
      </c>
      <c r="AE5" s="326"/>
      <c r="AF5" s="326"/>
      <c r="AG5" s="322" t="s">
        <v>14</v>
      </c>
      <c r="AH5" s="327" t="s">
        <v>83</v>
      </c>
      <c r="AI5" s="329"/>
      <c r="AJ5" s="320"/>
    </row>
    <row r="6" spans="1:36" x14ac:dyDescent="0.3">
      <c r="A6" s="321"/>
      <c r="B6" s="321"/>
      <c r="C6" s="321"/>
      <c r="D6" s="321"/>
      <c r="E6" s="321"/>
      <c r="F6" s="321"/>
      <c r="G6" s="49" t="s">
        <v>64</v>
      </c>
      <c r="H6" s="40" t="s">
        <v>65</v>
      </c>
      <c r="I6" s="41" t="s">
        <v>79</v>
      </c>
      <c r="J6" s="40" t="s">
        <v>67</v>
      </c>
      <c r="K6" s="44" t="s">
        <v>66</v>
      </c>
      <c r="L6" s="44" t="s">
        <v>68</v>
      </c>
      <c r="M6" s="44" t="s">
        <v>69</v>
      </c>
      <c r="N6" s="152" t="s">
        <v>390</v>
      </c>
      <c r="O6" s="152" t="s">
        <v>391</v>
      </c>
      <c r="P6" s="44" t="s">
        <v>348</v>
      </c>
      <c r="Q6" s="62" t="s">
        <v>347</v>
      </c>
      <c r="R6" s="62" t="s">
        <v>349</v>
      </c>
      <c r="S6" s="62" t="s">
        <v>350</v>
      </c>
      <c r="T6" s="62" t="s">
        <v>346</v>
      </c>
      <c r="U6" s="183" t="s">
        <v>448</v>
      </c>
      <c r="V6" s="183" t="s">
        <v>449</v>
      </c>
      <c r="W6" s="44" t="s">
        <v>70</v>
      </c>
      <c r="X6" s="44" t="s">
        <v>71</v>
      </c>
      <c r="Y6" s="44" t="s">
        <v>74</v>
      </c>
      <c r="Z6" s="44" t="s">
        <v>75</v>
      </c>
      <c r="AA6" s="44" t="s">
        <v>76</v>
      </c>
      <c r="AB6" s="44" t="s">
        <v>77</v>
      </c>
      <c r="AC6" s="44" t="s">
        <v>78</v>
      </c>
      <c r="AD6" s="41" t="s">
        <v>28</v>
      </c>
      <c r="AE6" s="44" t="s">
        <v>72</v>
      </c>
      <c r="AF6" s="44" t="s">
        <v>73</v>
      </c>
      <c r="AG6" s="330"/>
      <c r="AH6" s="48" t="s">
        <v>84</v>
      </c>
      <c r="AI6" s="48" t="s">
        <v>85</v>
      </c>
      <c r="AJ6" s="321"/>
    </row>
    <row r="7" spans="1:36" s="51" customFormat="1" ht="16.5" customHeight="1" x14ac:dyDescent="0.3">
      <c r="A7" s="8" t="s">
        <v>12</v>
      </c>
      <c r="B7" s="8" t="s">
        <v>392</v>
      </c>
      <c r="C7" s="8">
        <v>1</v>
      </c>
      <c r="D7" s="52" t="s">
        <v>424</v>
      </c>
      <c r="E7" s="52" t="str">
        <f>CONCATENATE(A7,"flb","wb0",C7)</f>
        <v>pflbwb01</v>
      </c>
      <c r="F7" s="52" t="str">
        <f>CONCATENATE(A7,"flb","ap0",C7)</f>
        <v>pflbap01</v>
      </c>
      <c r="G7" s="9" t="s">
        <v>413</v>
      </c>
      <c r="H7" s="33" t="str">
        <f>VLOOKUP(G7,'Domain별 코드 체계'!$B$5:$J$29,7,0)</f>
        <v>SV11</v>
      </c>
      <c r="I7" s="126" t="s">
        <v>5</v>
      </c>
      <c r="J7" s="10" t="str">
        <f t="shared" ref="J7" si="0">CONCATENATE(UPPER(IF(A7="d","P",A7)),"-",H7,"-",I7)</f>
        <v>P-SV11-O</v>
      </c>
      <c r="K7" s="131" t="s">
        <v>88</v>
      </c>
      <c r="L7" s="65">
        <v>1</v>
      </c>
      <c r="M7" s="57" t="str">
        <f t="shared" ref="M7" si="1">CONCATENATE(J7,"-",K7,C7,L7)</f>
        <v>P-SV11-O-F11</v>
      </c>
      <c r="N7" s="59" t="str">
        <f>IF(K7="S",9,"8")&amp;VLOOKUP(H7,'WAS Domain'!$E$11:$I$27,3,0)&amp;VLOOKUP(H7,'WAS Domain'!$E$11:$I$27,4,0)&amp;IF(RIGHT(H7,1)="1",L7,RIGHT(H7,1))</f>
        <v>8111</v>
      </c>
      <c r="O7" s="59">
        <f>N7+443</f>
        <v>8554</v>
      </c>
      <c r="P7" s="59" t="str">
        <f>VLOOKUP(H7,'WAS Domain'!$E$11:$I$26,2,0)&amp;VLOOKUP(H7,'WAS Domain'!$E$11:$I$26,3,0)&amp;VLOOKUP(H7,'WAS Domain'!$E$11:$I$26,4,0)&amp;VLOOKUP(H7,'WAS Domain'!$E$11:$I$26,5,0)&amp;IF(K7="A",0,IF(K7="F",L7,IF(LEFT(H7,3)="FWM",L7,9)))</f>
        <v>11111</v>
      </c>
      <c r="Q7" s="58">
        <f>T7+8009</f>
        <v>11040</v>
      </c>
      <c r="R7" s="58">
        <f>T7+9990</f>
        <v>13021</v>
      </c>
      <c r="S7" s="58">
        <f>T7+9999</f>
        <v>13030</v>
      </c>
      <c r="T7" s="58">
        <f>P7-8080</f>
        <v>3031</v>
      </c>
      <c r="U7" s="58"/>
      <c r="V7" s="58"/>
      <c r="W7" s="57" t="s">
        <v>279</v>
      </c>
      <c r="X7" s="57" t="str">
        <f t="shared" ref="X7" si="2">IF(K7="A","",CONCATENATE(J7,"-A11"))</f>
        <v>P-SV11-O-A11</v>
      </c>
      <c r="Y7" s="57">
        <f t="shared" ref="Y7" si="3">IF(K7="A",512,IF(K7="F",2048,IF(K7="S",1024)))</f>
        <v>2048</v>
      </c>
      <c r="Z7" s="57">
        <f t="shared" ref="Z7" si="4">IF(K7="A","",IF(K7="F",(Y7/16)*6,IF(K7="S",Y7/4)))</f>
        <v>768</v>
      </c>
      <c r="AA7" s="57">
        <f t="shared" ref="AA7" si="5">Z7</f>
        <v>768</v>
      </c>
      <c r="AB7" s="57">
        <f t="shared" ref="AB7" si="6">IF(K7="A","",IF(K7="F",(Y7/16)*4,IF(K7="S",Y7/4)))</f>
        <v>512</v>
      </c>
      <c r="AC7" s="57">
        <f t="shared" ref="AC7" si="7">AB7</f>
        <v>512</v>
      </c>
      <c r="AD7" s="65" t="s">
        <v>80</v>
      </c>
      <c r="AE7" s="57" t="str">
        <f>CONCATENATE("/",LOWER(B7),"/",LOWER(LEFT(H7,4)),"/wasApp")</f>
        <v>/sv1/sv11/wasApp</v>
      </c>
      <c r="AF7" s="57" t="str">
        <f>CONCATENATE("/log/jboss7/",J7,"/",M7)</f>
        <v>/log/jboss7/P-SV11-O/P-SV11-O-F11</v>
      </c>
      <c r="AG7" s="65" t="s">
        <v>86</v>
      </c>
      <c r="AH7" s="13" t="s">
        <v>87</v>
      </c>
      <c r="AI7" s="13">
        <v>9998</v>
      </c>
      <c r="AJ7" s="57"/>
    </row>
    <row r="8" spans="1:36" s="51" customFormat="1" ht="16.5" customHeight="1" x14ac:dyDescent="0.3">
      <c r="A8" s="8" t="s">
        <v>23</v>
      </c>
      <c r="B8" s="8" t="s">
        <v>392</v>
      </c>
      <c r="C8" s="8">
        <v>1</v>
      </c>
      <c r="D8" s="52" t="s">
        <v>425</v>
      </c>
      <c r="E8" s="52" t="str">
        <f t="shared" ref="E8:E23" si="8">CONCATENATE(A8,"flb","wb0",C8)</f>
        <v>pflbwb01</v>
      </c>
      <c r="F8" s="52" t="str">
        <f t="shared" ref="F8:F23" si="9">CONCATENATE(A8,"flb","ap0",C8)</f>
        <v>pflbap01</v>
      </c>
      <c r="G8" s="9" t="s">
        <v>413</v>
      </c>
      <c r="H8" s="33" t="str">
        <f>VLOOKUP(G8,'Domain별 코드 체계'!$B$5:$J$29,7,0)</f>
        <v>SV11</v>
      </c>
      <c r="I8" s="126" t="s">
        <v>5</v>
      </c>
      <c r="J8" s="10" t="str">
        <f t="shared" ref="J8:J12" si="10">CONCATENATE(UPPER(IF(A8="d","P",A8)),"-",H8,"-",I8)</f>
        <v>P-SV11-O</v>
      </c>
      <c r="K8" s="131" t="s">
        <v>88</v>
      </c>
      <c r="L8" s="12">
        <v>2</v>
      </c>
      <c r="M8" s="57" t="str">
        <f t="shared" ref="M8:M12" si="11">CONCATENATE(J8,"-",K8,C8,L8)</f>
        <v>P-SV11-O-F12</v>
      </c>
      <c r="N8" s="158" t="str">
        <f>IF(K8="S",9,"8")&amp;VLOOKUP(H8,'WAS Domain'!$E$11:$I$27,3,0)&amp;VLOOKUP(H8,'WAS Domain'!$E$11:$I$27,4,0)&amp;IF(RIGHT(H8,1)="1",L8,RIGHT(H8,1))</f>
        <v>8112</v>
      </c>
      <c r="O8" s="158">
        <f t="shared" ref="O8:O78" si="12">N8+443</f>
        <v>8555</v>
      </c>
      <c r="P8" s="59" t="str">
        <f>VLOOKUP(H8,'WAS Domain'!$E$11:$I$26,2,0)&amp;VLOOKUP(H8,'WAS Domain'!$E$11:$I$26,3,0)&amp;VLOOKUP(H8,'WAS Domain'!$E$11:$I$26,4,0)&amp;VLOOKUP(H8,'WAS Domain'!$E$11:$I$26,5,0)&amp;IF(K8="A",0,IF(K8="F",L8,IF(LEFT(H8,3)="FWM",L8,9)))</f>
        <v>11112</v>
      </c>
      <c r="Q8" s="58">
        <f t="shared" ref="Q8:Q22" si="13">T8+8009</f>
        <v>11041</v>
      </c>
      <c r="R8" s="58">
        <f t="shared" ref="R8:R22" si="14">T8+9990</f>
        <v>13022</v>
      </c>
      <c r="S8" s="58">
        <f t="shared" ref="S8:S75" si="15">T8+9999</f>
        <v>13031</v>
      </c>
      <c r="T8" s="58">
        <f t="shared" ref="T8:T22" si="16">P8-8080</f>
        <v>3032</v>
      </c>
      <c r="U8" s="58"/>
      <c r="V8" s="58"/>
      <c r="W8" s="57" t="s">
        <v>279</v>
      </c>
      <c r="X8" s="57" t="str">
        <f t="shared" ref="X8:X12" si="17">IF(K8="A","",CONCATENATE(J8,"-A11"))</f>
        <v>P-SV11-O-A11</v>
      </c>
      <c r="Y8" s="57">
        <f t="shared" ref="Y8:Y12" si="18">IF(K8="A",512,IF(K8="F",2048,IF(K8="S",1024)))</f>
        <v>2048</v>
      </c>
      <c r="Z8" s="57">
        <f t="shared" ref="Z8:Z12" si="19">IF(K8="A","",IF(K8="F",(Y8/16)*6,IF(K8="S",Y8/4)))</f>
        <v>768</v>
      </c>
      <c r="AA8" s="57">
        <f t="shared" ref="AA8:AA12" si="20">Z8</f>
        <v>768</v>
      </c>
      <c r="AB8" s="57">
        <f t="shared" ref="AB8:AB12" si="21">IF(K8="A","",IF(K8="F",(Y8/16)*4,IF(K8="S",Y8/4)))</f>
        <v>512</v>
      </c>
      <c r="AC8" s="57">
        <f t="shared" ref="AC8:AC12" si="22">AB8</f>
        <v>512</v>
      </c>
      <c r="AD8" s="12" t="s">
        <v>80</v>
      </c>
      <c r="AE8" s="57" t="str">
        <f>CONCATENATE("/",LOWER(B8),"/",LOWER(LEFT(H8,4)),"/wasApp")</f>
        <v>/sv1/sv11/wasApp</v>
      </c>
      <c r="AF8" s="57" t="str">
        <f t="shared" ref="AF8:AF14" si="23">CONCATENATE("/log/jboss7/",J8,"/",M8)</f>
        <v>/log/jboss7/P-SV11-O/P-SV11-O-F12</v>
      </c>
      <c r="AG8" s="12" t="s">
        <v>86</v>
      </c>
      <c r="AH8" s="13" t="s">
        <v>87</v>
      </c>
      <c r="AI8" s="13">
        <v>9998</v>
      </c>
      <c r="AJ8" s="57"/>
    </row>
    <row r="9" spans="1:36" s="51" customFormat="1" ht="16.5" customHeight="1" x14ac:dyDescent="0.3">
      <c r="A9" s="8" t="s">
        <v>23</v>
      </c>
      <c r="B9" s="8" t="s">
        <v>392</v>
      </c>
      <c r="C9" s="8">
        <v>1</v>
      </c>
      <c r="D9" s="52" t="s">
        <v>424</v>
      </c>
      <c r="E9" s="52" t="str">
        <f t="shared" si="8"/>
        <v>pflbwb01</v>
      </c>
      <c r="F9" s="52" t="str">
        <f t="shared" si="9"/>
        <v>pflbap01</v>
      </c>
      <c r="G9" s="9" t="s">
        <v>406</v>
      </c>
      <c r="H9" s="33" t="str">
        <f>VLOOKUP(G9,'Domain별 코드 체계'!$B$5:$J$29,7,0)</f>
        <v>SV12</v>
      </c>
      <c r="I9" s="126" t="s">
        <v>5</v>
      </c>
      <c r="J9" s="10" t="str">
        <f t="shared" si="10"/>
        <v>P-SV12-O</v>
      </c>
      <c r="K9" s="131" t="s">
        <v>377</v>
      </c>
      <c r="L9" s="12">
        <v>1</v>
      </c>
      <c r="M9" s="57" t="str">
        <f t="shared" si="11"/>
        <v>P-SV12-O-S11</v>
      </c>
      <c r="N9" s="158" t="str">
        <f>IF(K9="S",9,"8")&amp;VLOOKUP(H9,'WAS Domain'!$E$11:$I$27,3,0)&amp;VLOOKUP(H9,'WAS Domain'!$E$11:$I$27,4,0)&amp;IF(RIGHT(H9,1)="1",L9,RIGHT(H9,1))</f>
        <v>9112</v>
      </c>
      <c r="O9" s="158">
        <f t="shared" si="12"/>
        <v>9555</v>
      </c>
      <c r="P9" s="59" t="str">
        <f>VLOOKUP(H9,'WAS Domain'!$E$11:$I$26,2,0)&amp;VLOOKUP(H9,'WAS Domain'!$E$11:$I$26,3,0)&amp;VLOOKUP(H9,'WAS Domain'!$E$11:$I$26,4,0)&amp;VLOOKUP(H9,'WAS Domain'!$E$11:$I$26,5,0)&amp;IF(K9="A",0,IF(K9="F",L9,IF(LEFT(H9,3)="FWM",L9,9)))</f>
        <v>11129</v>
      </c>
      <c r="Q9" s="58">
        <f t="shared" si="13"/>
        <v>11058</v>
      </c>
      <c r="R9" s="58">
        <f t="shared" si="14"/>
        <v>13039</v>
      </c>
      <c r="S9" s="58">
        <f t="shared" si="15"/>
        <v>13048</v>
      </c>
      <c r="T9" s="58">
        <f t="shared" si="16"/>
        <v>3049</v>
      </c>
      <c r="U9" s="58"/>
      <c r="V9" s="58"/>
      <c r="W9" s="57" t="s">
        <v>398</v>
      </c>
      <c r="X9" s="57" t="str">
        <f t="shared" si="17"/>
        <v>P-SV12-O-A11</v>
      </c>
      <c r="Y9" s="57">
        <f t="shared" si="18"/>
        <v>1024</v>
      </c>
      <c r="Z9" s="57">
        <f t="shared" si="19"/>
        <v>256</v>
      </c>
      <c r="AA9" s="57">
        <f t="shared" si="20"/>
        <v>256</v>
      </c>
      <c r="AB9" s="57">
        <f t="shared" si="21"/>
        <v>256</v>
      </c>
      <c r="AC9" s="57">
        <f t="shared" si="22"/>
        <v>256</v>
      </c>
      <c r="AD9" s="12" t="s">
        <v>80</v>
      </c>
      <c r="AE9" s="57" t="str">
        <f t="shared" ref="AE9:AE14" si="24">CONCATENATE("/",LOWER(B9),"/",LOWER(LEFT(H9,4)),"/wasApp")</f>
        <v>/sv1/sv12/wasApp</v>
      </c>
      <c r="AF9" s="57" t="str">
        <f t="shared" si="23"/>
        <v>/log/jboss7/P-SV12-O/P-SV12-O-S11</v>
      </c>
      <c r="AG9" s="12" t="s">
        <v>86</v>
      </c>
      <c r="AH9" s="13" t="s">
        <v>87</v>
      </c>
      <c r="AI9" s="13">
        <v>9998</v>
      </c>
      <c r="AJ9" s="57"/>
    </row>
    <row r="10" spans="1:36" s="51" customFormat="1" ht="16.5" customHeight="1" x14ac:dyDescent="0.3">
      <c r="A10" s="8" t="s">
        <v>12</v>
      </c>
      <c r="B10" s="8" t="s">
        <v>392</v>
      </c>
      <c r="C10" s="8">
        <v>1</v>
      </c>
      <c r="D10" s="52" t="s">
        <v>425</v>
      </c>
      <c r="E10" s="52" t="str">
        <f t="shared" si="8"/>
        <v>pflbwb01</v>
      </c>
      <c r="F10" s="52" t="str">
        <f t="shared" si="9"/>
        <v>pflbap01</v>
      </c>
      <c r="G10" s="9" t="s">
        <v>412</v>
      </c>
      <c r="H10" s="33" t="str">
        <f>VLOOKUP(G10,'Domain별 코드 체계'!$B$5:$J$29,7,0)</f>
        <v>SV13</v>
      </c>
      <c r="I10" s="126" t="s">
        <v>5</v>
      </c>
      <c r="J10" s="10" t="str">
        <f t="shared" si="10"/>
        <v>P-SV13-O</v>
      </c>
      <c r="K10" s="131" t="s">
        <v>88</v>
      </c>
      <c r="L10" s="12">
        <v>1</v>
      </c>
      <c r="M10" s="57" t="str">
        <f t="shared" si="11"/>
        <v>P-SV13-O-F11</v>
      </c>
      <c r="N10" s="59" t="str">
        <f>IF(K10="S",9,"8")&amp;VLOOKUP(H10,'WAS Domain'!$E$11:$I$27,3,0)&amp;VLOOKUP(H10,'WAS Domain'!$E$11:$I$27,4,0)&amp;IF(RIGHT(H10,1)="1",L10,RIGHT(H10,1))</f>
        <v>8113</v>
      </c>
      <c r="O10" s="59">
        <v>21443</v>
      </c>
      <c r="P10" s="59" t="str">
        <f>VLOOKUP(H10,'WAS Domain'!$E$11:$I$26,2,0)&amp;VLOOKUP(H10,'WAS Domain'!$E$11:$I$26,3,0)&amp;VLOOKUP(H10,'WAS Domain'!$E$11:$I$26,4,0)&amp;VLOOKUP(H10,'WAS Domain'!$E$11:$I$26,5,0)&amp;IF(K10="A",0,IF(K10="F",L10,IF(LEFT(H10,3)="FWM",L10,9)))</f>
        <v>11131</v>
      </c>
      <c r="Q10" s="58">
        <f t="shared" si="13"/>
        <v>11060</v>
      </c>
      <c r="R10" s="58">
        <f t="shared" si="14"/>
        <v>13041</v>
      </c>
      <c r="S10" s="58">
        <f t="shared" si="15"/>
        <v>13050</v>
      </c>
      <c r="T10" s="58">
        <f t="shared" si="16"/>
        <v>3051</v>
      </c>
      <c r="U10" s="58"/>
      <c r="V10" s="58"/>
      <c r="W10" s="57" t="s">
        <v>282</v>
      </c>
      <c r="X10" s="57" t="str">
        <f t="shared" si="17"/>
        <v>P-SV13-O-A11</v>
      </c>
      <c r="Y10" s="57">
        <f t="shared" si="18"/>
        <v>2048</v>
      </c>
      <c r="Z10" s="57">
        <f t="shared" si="19"/>
        <v>768</v>
      </c>
      <c r="AA10" s="57">
        <f t="shared" si="20"/>
        <v>768</v>
      </c>
      <c r="AB10" s="57">
        <f t="shared" si="21"/>
        <v>512</v>
      </c>
      <c r="AC10" s="57">
        <f t="shared" si="22"/>
        <v>512</v>
      </c>
      <c r="AD10" s="12" t="s">
        <v>56</v>
      </c>
      <c r="AE10" s="57" t="str">
        <f t="shared" si="24"/>
        <v>/sv1/sv13/wasApp</v>
      </c>
      <c r="AF10" s="57" t="str">
        <f t="shared" si="23"/>
        <v>/log/jboss7/P-SV13-O/P-SV13-O-F11</v>
      </c>
      <c r="AG10" s="12" t="s">
        <v>86</v>
      </c>
      <c r="AH10" s="13" t="s">
        <v>87</v>
      </c>
      <c r="AI10" s="13">
        <v>9998</v>
      </c>
      <c r="AJ10" s="57"/>
    </row>
    <row r="11" spans="1:36" s="51" customFormat="1" ht="16.5" customHeight="1" x14ac:dyDescent="0.3">
      <c r="A11" s="8" t="s">
        <v>12</v>
      </c>
      <c r="B11" s="8" t="s">
        <v>392</v>
      </c>
      <c r="C11" s="8">
        <v>1</v>
      </c>
      <c r="D11" s="52" t="s">
        <v>424</v>
      </c>
      <c r="E11" s="52" t="str">
        <f t="shared" ref="E11" si="25">CONCATENATE(A11,"flb","wb0",C11)</f>
        <v>pflbwb01</v>
      </c>
      <c r="F11" s="52" t="str">
        <f t="shared" ref="F11" si="26">CONCATENATE(A11,"flb","ap0",C11)</f>
        <v>pflbap01</v>
      </c>
      <c r="G11" s="9" t="s">
        <v>410</v>
      </c>
      <c r="H11" s="33" t="str">
        <f>VLOOKUP(G11,'Domain별 코드 체계'!$B$5:$J$29,7,0)</f>
        <v>SV13</v>
      </c>
      <c r="I11" s="126" t="s">
        <v>5</v>
      </c>
      <c r="J11" s="10" t="str">
        <f t="shared" ref="J11" si="27">CONCATENATE(UPPER(IF(A11="d","P",A11)),"-",H11,"-",I11)</f>
        <v>P-SV13-O</v>
      </c>
      <c r="K11" s="131" t="s">
        <v>88</v>
      </c>
      <c r="L11" s="258">
        <v>2</v>
      </c>
      <c r="M11" s="57" t="str">
        <f t="shared" ref="M11" si="28">CONCATENATE(J11,"-",K11,C11,L11)</f>
        <v>P-SV13-O-F12</v>
      </c>
      <c r="N11" s="158" t="str">
        <f>IF(K11="S",9,"8")&amp;VLOOKUP(H11,'WAS Domain'!$E$11:$I$27,3,0)&amp;VLOOKUP(H11,'WAS Domain'!$E$11:$I$27,4,0)&amp;IF(RIGHT(H11,1)="1",L11,RIGHT(H11,1))</f>
        <v>8113</v>
      </c>
      <c r="O11" s="158">
        <v>21443</v>
      </c>
      <c r="P11" s="59" t="str">
        <f>VLOOKUP(H11,'WAS Domain'!$E$11:$I$26,2,0)&amp;VLOOKUP(H11,'WAS Domain'!$E$11:$I$26,3,0)&amp;VLOOKUP(H11,'WAS Domain'!$E$11:$I$26,4,0)&amp;VLOOKUP(H11,'WAS Domain'!$E$11:$I$26,5,0)&amp;IF(K11="A",0,IF(K11="F",L11,IF(LEFT(H11,3)="FWM",L11,9)))</f>
        <v>11132</v>
      </c>
      <c r="Q11" s="58">
        <f t="shared" ref="Q11" si="29">T11+8009</f>
        <v>11061</v>
      </c>
      <c r="R11" s="58">
        <f t="shared" ref="R11" si="30">T11+9990</f>
        <v>13042</v>
      </c>
      <c r="S11" s="58">
        <f t="shared" ref="S11" si="31">T11+9999</f>
        <v>13051</v>
      </c>
      <c r="T11" s="58">
        <f t="shared" ref="T11" si="32">P11-8080</f>
        <v>3052</v>
      </c>
      <c r="U11" s="58"/>
      <c r="V11" s="58"/>
      <c r="W11" s="57" t="s">
        <v>282</v>
      </c>
      <c r="X11" s="57" t="str">
        <f t="shared" ref="X11" si="33">IF(K11="A","",CONCATENATE(J11,"-A11"))</f>
        <v>P-SV13-O-A11</v>
      </c>
      <c r="Y11" s="57">
        <f t="shared" ref="Y11" si="34">IF(K11="A",512,IF(K11="F",2048,IF(K11="S",1024)))</f>
        <v>2048</v>
      </c>
      <c r="Z11" s="57">
        <f t="shared" ref="Z11" si="35">IF(K11="A","",IF(K11="F",(Y11/16)*6,IF(K11="S",Y11/4)))</f>
        <v>768</v>
      </c>
      <c r="AA11" s="57">
        <f t="shared" ref="AA11" si="36">Z11</f>
        <v>768</v>
      </c>
      <c r="AB11" s="57">
        <f t="shared" ref="AB11" si="37">IF(K11="A","",IF(K11="F",(Y11/16)*4,IF(K11="S",Y11/4)))</f>
        <v>512</v>
      </c>
      <c r="AC11" s="57">
        <f t="shared" ref="AC11" si="38">AB11</f>
        <v>512</v>
      </c>
      <c r="AD11" s="258" t="s">
        <v>56</v>
      </c>
      <c r="AE11" s="57" t="str">
        <f t="shared" si="24"/>
        <v>/sv1/sv13/wasApp</v>
      </c>
      <c r="AF11" s="57" t="str">
        <f t="shared" ref="AF11" si="39">CONCATENATE("/log/jboss7/",J11,"/",M11)</f>
        <v>/log/jboss7/P-SV13-O/P-SV13-O-F12</v>
      </c>
      <c r="AG11" s="258" t="s">
        <v>86</v>
      </c>
      <c r="AH11" s="13" t="s">
        <v>87</v>
      </c>
      <c r="AI11" s="13">
        <v>9998</v>
      </c>
      <c r="AJ11" s="57"/>
    </row>
    <row r="12" spans="1:36" s="51" customFormat="1" ht="16.5" customHeight="1" x14ac:dyDescent="0.3">
      <c r="A12" s="75" t="s">
        <v>12</v>
      </c>
      <c r="B12" s="8" t="s">
        <v>392</v>
      </c>
      <c r="C12" s="75">
        <v>1</v>
      </c>
      <c r="D12" s="52" t="s">
        <v>425</v>
      </c>
      <c r="E12" s="52" t="str">
        <f t="shared" ref="E12" si="40">CONCATENATE(A12,"flb","wb0",C12)</f>
        <v>pflbwb01</v>
      </c>
      <c r="F12" s="52" t="str">
        <f t="shared" ref="F12" si="41">CONCATENATE(A12,"flb","ap0",C12)</f>
        <v>pflbap01</v>
      </c>
      <c r="G12" s="73" t="s">
        <v>414</v>
      </c>
      <c r="H12" s="77" t="str">
        <f>VLOOKUP(G12,'Domain별 코드 체계'!$B$5:$J$29,7,0)</f>
        <v>SV14</v>
      </c>
      <c r="I12" s="127" t="s">
        <v>375</v>
      </c>
      <c r="J12" s="78" t="str">
        <f t="shared" si="10"/>
        <v>P-SV14-O</v>
      </c>
      <c r="K12" s="132" t="s">
        <v>308</v>
      </c>
      <c r="L12" s="79">
        <v>1</v>
      </c>
      <c r="M12" s="80" t="str">
        <f t="shared" si="11"/>
        <v>P-SV14-O-S11</v>
      </c>
      <c r="N12" s="59" t="str">
        <f>IF(K12="S",9,"8")&amp;VLOOKUP(H12,'WAS Domain'!$E$11:$I$27,3,0)&amp;VLOOKUP(H12,'WAS Domain'!$E$11:$I$27,4,0)&amp;IF(RIGHT(H12,1)="1",L12,RIGHT(H12,1))</f>
        <v>9114</v>
      </c>
      <c r="O12" s="59">
        <f t="shared" ref="O12" si="42">N12+443</f>
        <v>9557</v>
      </c>
      <c r="P12" s="81" t="str">
        <f>VLOOKUP(H12,'WAS Domain'!$E$11:$I$26,2,0)&amp;VLOOKUP(H12,'WAS Domain'!$E$11:$I$26,3,0)&amp;VLOOKUP(H12,'WAS Domain'!$E$11:$I$26,4,0)&amp;VLOOKUP(H12,'WAS Domain'!$E$11:$I$26,5,0)&amp;IF(K12="A",0,IF(K12="F",L12,IF(LEFT(H12,3)="FWM",L12,9)))</f>
        <v>11149</v>
      </c>
      <c r="Q12" s="81">
        <f t="shared" ref="Q12" si="43">T12+8009</f>
        <v>11078</v>
      </c>
      <c r="R12" s="81">
        <f t="shared" ref="R12" si="44">T12+9990</f>
        <v>13059</v>
      </c>
      <c r="S12" s="81">
        <f t="shared" ref="S12" si="45">T12+9999</f>
        <v>13068</v>
      </c>
      <c r="T12" s="81">
        <f t="shared" ref="T12" si="46">P12-8080</f>
        <v>3069</v>
      </c>
      <c r="U12" s="81"/>
      <c r="V12" s="81"/>
      <c r="W12" s="80" t="s">
        <v>283</v>
      </c>
      <c r="X12" s="80" t="str">
        <f t="shared" si="17"/>
        <v>P-SV14-O-A11</v>
      </c>
      <c r="Y12" s="80">
        <f t="shared" si="18"/>
        <v>1024</v>
      </c>
      <c r="Z12" s="80">
        <f t="shared" si="19"/>
        <v>256</v>
      </c>
      <c r="AA12" s="80">
        <f t="shared" si="20"/>
        <v>256</v>
      </c>
      <c r="AB12" s="80">
        <f t="shared" si="21"/>
        <v>256</v>
      </c>
      <c r="AC12" s="80">
        <f t="shared" si="22"/>
        <v>256</v>
      </c>
      <c r="AD12" s="79" t="s">
        <v>80</v>
      </c>
      <c r="AE12" s="57" t="str">
        <f t="shared" si="24"/>
        <v>/sv1/sv14/wasApp</v>
      </c>
      <c r="AF12" s="80" t="str">
        <f t="shared" ref="AF12" si="47">CONCATENATE("/log/jboss7/",J12,"/",M12)</f>
        <v>/log/jboss7/P-SV14-O/P-SV14-O-S11</v>
      </c>
      <c r="AG12" s="79" t="s">
        <v>86</v>
      </c>
      <c r="AH12" s="82" t="s">
        <v>87</v>
      </c>
      <c r="AI12" s="82">
        <v>9998</v>
      </c>
      <c r="AJ12" s="80"/>
    </row>
    <row r="13" spans="1:36" s="51" customFormat="1" ht="16.5" customHeight="1" x14ac:dyDescent="0.3">
      <c r="A13" s="75" t="s">
        <v>12</v>
      </c>
      <c r="B13" s="8" t="s">
        <v>392</v>
      </c>
      <c r="C13" s="75">
        <v>1</v>
      </c>
      <c r="D13" s="52" t="s">
        <v>424</v>
      </c>
      <c r="E13" s="52" t="str">
        <f t="shared" ref="E13" si="48">CONCATENATE(A13,"flb","wb0",C13)</f>
        <v>pflbwb01</v>
      </c>
      <c r="F13" s="52" t="str">
        <f t="shared" ref="F13" si="49">CONCATENATE(A13,"flb","ap0",C13)</f>
        <v>pflbap01</v>
      </c>
      <c r="G13" s="262" t="s">
        <v>480</v>
      </c>
      <c r="H13" s="77" t="str">
        <f>VLOOKUP(G13,'Domain별 코드 체계'!$B$5:$J$29,7,0)</f>
        <v>SV15</v>
      </c>
      <c r="I13" s="127" t="s">
        <v>375</v>
      </c>
      <c r="J13" s="78" t="str">
        <f t="shared" ref="J13" si="50">CONCATENATE(UPPER(IF(A13="d","P",A13)),"-",H13,"-",I13)</f>
        <v>P-SV15-O</v>
      </c>
      <c r="K13" s="132" t="s">
        <v>88</v>
      </c>
      <c r="L13" s="79">
        <v>1</v>
      </c>
      <c r="M13" s="80" t="str">
        <f t="shared" ref="M13" si="51">CONCATENATE(J13,"-",K13,C13,L13)</f>
        <v>P-SV15-O-F11</v>
      </c>
      <c r="N13" s="158" t="str">
        <f>IF(K13="S",9,"8")&amp;VLOOKUP(H13,'WAS Domain'!$E$11:$I$27,3,0)&amp;VLOOKUP(H13,'WAS Domain'!$E$11:$I$27,4,0)&amp;IF(RIGHT(H13,1)="1",L13,RIGHT(H13,1))</f>
        <v>8115</v>
      </c>
      <c r="O13" s="158">
        <f t="shared" ref="O13" si="52">N13+443</f>
        <v>8558</v>
      </c>
      <c r="P13" s="188" t="str">
        <f>VLOOKUP(H13,'WAS Domain'!$E$11:$I$26,2,0)&amp;VLOOKUP(H13,'WAS Domain'!$E$11:$I$26,3,0)&amp;VLOOKUP(H13,'WAS Domain'!$E$11:$I$26,4,0)&amp;VLOOKUP(H13,'WAS Domain'!$E$11:$I$26,5,0)&amp;IF(K13="A",0,IF(K13="F",L13,IF(LEFT(H13,3)="FWM",L13,9)))</f>
        <v>11151</v>
      </c>
      <c r="Q13" s="188">
        <f t="shared" ref="Q13" si="53">T13+8009</f>
        <v>11080</v>
      </c>
      <c r="R13" s="188">
        <f t="shared" ref="R13" si="54">T13+9990</f>
        <v>13061</v>
      </c>
      <c r="S13" s="188">
        <f t="shared" ref="S13" si="55">T13+9999</f>
        <v>13070</v>
      </c>
      <c r="T13" s="188">
        <f t="shared" ref="T13" si="56">P13-8080</f>
        <v>3071</v>
      </c>
      <c r="U13" s="81"/>
      <c r="V13" s="81"/>
      <c r="W13" s="80" t="s">
        <v>283</v>
      </c>
      <c r="X13" s="80" t="str">
        <f t="shared" ref="X13" si="57">IF(K13="A","",CONCATENATE(J13,"-A11"))</f>
        <v>P-SV15-O-A11</v>
      </c>
      <c r="Y13" s="80">
        <f t="shared" ref="Y13" si="58">IF(K13="A",512,IF(K13="F",2048,IF(K13="S",1024)))</f>
        <v>2048</v>
      </c>
      <c r="Z13" s="80">
        <f t="shared" ref="Z13" si="59">IF(K13="A","",IF(K13="F",(Y13/16)*6,IF(K13="S",Y13/4)))</f>
        <v>768</v>
      </c>
      <c r="AA13" s="80">
        <f t="shared" ref="AA13" si="60">Z13</f>
        <v>768</v>
      </c>
      <c r="AB13" s="80">
        <f t="shared" ref="AB13" si="61">IF(K13="A","",IF(K13="F",(Y13/16)*4,IF(K13="S",Y13/4)))</f>
        <v>512</v>
      </c>
      <c r="AC13" s="80">
        <f t="shared" ref="AC13" si="62">AB13</f>
        <v>512</v>
      </c>
      <c r="AD13" s="79" t="s">
        <v>80</v>
      </c>
      <c r="AE13" s="57" t="str">
        <f t="shared" si="24"/>
        <v>/sv1/sv15/wasApp</v>
      </c>
      <c r="AF13" s="80" t="str">
        <f t="shared" ref="AF13" si="63">CONCATENATE("/log/jboss7/",J13,"/",M13)</f>
        <v>/log/jboss7/P-SV15-O/P-SV15-O-F11</v>
      </c>
      <c r="AG13" s="79" t="s">
        <v>86</v>
      </c>
      <c r="AH13" s="82" t="s">
        <v>87</v>
      </c>
      <c r="AI13" s="82">
        <v>9998</v>
      </c>
      <c r="AJ13" s="80"/>
    </row>
    <row r="14" spans="1:36" s="51" customFormat="1" ht="16.5" customHeight="1" thickBot="1" x14ac:dyDescent="0.35">
      <c r="A14" s="75" t="s">
        <v>12</v>
      </c>
      <c r="B14" s="75" t="s">
        <v>455</v>
      </c>
      <c r="C14" s="75">
        <v>1</v>
      </c>
      <c r="D14" s="52" t="s">
        <v>425</v>
      </c>
      <c r="E14" s="52" t="str">
        <f t="shared" si="8"/>
        <v>pflbwb01</v>
      </c>
      <c r="F14" s="52" t="str">
        <f t="shared" si="9"/>
        <v>pflbap01</v>
      </c>
      <c r="G14" s="73" t="s">
        <v>460</v>
      </c>
      <c r="H14" s="77" t="str">
        <f>VLOOKUP(G14,'Domain별 코드 체계'!$B$5:$J$30,7,0)</f>
        <v>SF11</v>
      </c>
      <c r="I14" s="127" t="s">
        <v>375</v>
      </c>
      <c r="J14" s="78" t="str">
        <f t="shared" ref="J14:J20" si="64">CONCATENATE(UPPER(IF(A14="d","P",A14)),"-",H14,"-",I14)</f>
        <v>P-SF11-O</v>
      </c>
      <c r="K14" s="132" t="s">
        <v>88</v>
      </c>
      <c r="L14" s="79">
        <v>1</v>
      </c>
      <c r="M14" s="80" t="str">
        <f t="shared" ref="M14:M20" si="65">CONCATENATE(J14,"-",K14,C14,L14)</f>
        <v>P-SF11-O-F11</v>
      </c>
      <c r="N14" s="59" t="str">
        <f>IF(K14="S",9,"8")&amp;VLOOKUP(H14,'WAS Domain'!$E$11:$I$27,3,0)&amp;VLOOKUP(H14,'WAS Domain'!$E$11:$I$27,4,0)&amp;IF(RIGHT(H14,1)="1",L14,RIGHT(H14,1))</f>
        <v>8121</v>
      </c>
      <c r="O14" s="59">
        <f t="shared" si="12"/>
        <v>8564</v>
      </c>
      <c r="P14" s="188" t="str">
        <f>VLOOKUP(H14,'WAS Domain'!$E$11:$I$27,2,0)&amp;VLOOKUP(H14,'WAS Domain'!$E$11:$I$27,3,0)&amp;VLOOKUP(H14,'WAS Domain'!$E$11:$I$27,4,0)&amp;VLOOKUP(H14,'WAS Domain'!$E$11:$I$27,5,0)&amp;IF(K14="A",0,IF(K14="F",L14,IF(LEFT(H14,3)="FWM",L14,9)))</f>
        <v>11211</v>
      </c>
      <c r="Q14" s="188">
        <f t="shared" si="13"/>
        <v>11140</v>
      </c>
      <c r="R14" s="188">
        <f t="shared" si="14"/>
        <v>13121</v>
      </c>
      <c r="S14" s="188">
        <f t="shared" si="15"/>
        <v>13130</v>
      </c>
      <c r="T14" s="188">
        <f t="shared" si="16"/>
        <v>3131</v>
      </c>
      <c r="U14" s="188"/>
      <c r="V14" s="188"/>
      <c r="W14" s="80" t="s">
        <v>471</v>
      </c>
      <c r="X14" s="80" t="str">
        <f t="shared" ref="X14:X20" si="66">IF(K14="A","",CONCATENATE(J14,"-A11"))</f>
        <v>P-SF11-O-A11</v>
      </c>
      <c r="Y14" s="80">
        <f t="shared" ref="Y14:Y20" si="67">IF(K14="A",512,IF(K14="F",2048,IF(K14="S",1024)))</f>
        <v>2048</v>
      </c>
      <c r="Z14" s="80">
        <f t="shared" ref="Z14:Z20" si="68">IF(K14="A","",IF(K14="F",(Y14/16)*6,IF(K14="S",Y14/4)))</f>
        <v>768</v>
      </c>
      <c r="AA14" s="80">
        <f t="shared" ref="AA14:AA20" si="69">Z14</f>
        <v>768</v>
      </c>
      <c r="AB14" s="80">
        <f t="shared" ref="AB14:AB20" si="70">IF(K14="A","",IF(K14="F",(Y14/16)*4,IF(K14="S",Y14/4)))</f>
        <v>512</v>
      </c>
      <c r="AC14" s="80">
        <f t="shared" ref="AC14:AC20" si="71">AB14</f>
        <v>512</v>
      </c>
      <c r="AD14" s="79" t="s">
        <v>80</v>
      </c>
      <c r="AE14" s="80" t="str">
        <f t="shared" si="24"/>
        <v>/sf1/sf11/wasApp</v>
      </c>
      <c r="AF14" s="80" t="str">
        <f t="shared" si="23"/>
        <v>/log/jboss7/P-SF11-O/P-SF11-O-F11</v>
      </c>
      <c r="AG14" s="79" t="s">
        <v>86</v>
      </c>
      <c r="AH14" s="82" t="s">
        <v>87</v>
      </c>
      <c r="AI14" s="82">
        <v>9998</v>
      </c>
      <c r="AJ14" s="80"/>
    </row>
    <row r="15" spans="1:36" s="51" customFormat="1" ht="16.5" customHeight="1" x14ac:dyDescent="0.3">
      <c r="A15" s="89" t="s">
        <v>12</v>
      </c>
      <c r="B15" s="90" t="s">
        <v>392</v>
      </c>
      <c r="C15" s="90">
        <v>2</v>
      </c>
      <c r="D15" s="91" t="s">
        <v>426</v>
      </c>
      <c r="E15" s="91" t="str">
        <f>CONCATENATE(A15,"flb","wb0",C15)</f>
        <v>pflbwb02</v>
      </c>
      <c r="F15" s="91" t="str">
        <f t="shared" si="9"/>
        <v>pflbap02</v>
      </c>
      <c r="G15" s="92" t="s">
        <v>413</v>
      </c>
      <c r="H15" s="93" t="str">
        <f>VLOOKUP(G15,'Domain별 코드 체계'!$B$5:$J$29,7,0)</f>
        <v>SV11</v>
      </c>
      <c r="I15" s="128" t="s">
        <v>5</v>
      </c>
      <c r="J15" s="94" t="str">
        <f t="shared" si="64"/>
        <v>P-SV11-O</v>
      </c>
      <c r="K15" s="133" t="s">
        <v>88</v>
      </c>
      <c r="L15" s="90">
        <v>1</v>
      </c>
      <c r="M15" s="91" t="str">
        <f t="shared" si="65"/>
        <v>P-SV11-O-F21</v>
      </c>
      <c r="N15" s="90" t="str">
        <f>IF(K15="S",9,"8")&amp;VLOOKUP(H15,'WAS Domain'!$E$11:$I$27,3,0)&amp;VLOOKUP(H15,'WAS Domain'!$E$11:$I$27,4,0)&amp;IF(RIGHT(H15,1)="1",L15,RIGHT(H15,1))</f>
        <v>8111</v>
      </c>
      <c r="O15" s="90">
        <f t="shared" si="12"/>
        <v>8554</v>
      </c>
      <c r="P15" s="113" t="str">
        <f>VLOOKUP(H15,'WAS Domain'!$E$11:$I$26,2,0)&amp;VLOOKUP(H15,'WAS Domain'!$E$11:$I$26,3,0)&amp;VLOOKUP(H15,'WAS Domain'!$E$11:$I$26,4,0)&amp;VLOOKUP(H15,'WAS Domain'!$E$11:$I$26,5,0)&amp;IF(K15="A",0,IF(K15="F",L15,IF(LEFT(H15,3)="FWM",L15,9)))</f>
        <v>11111</v>
      </c>
      <c r="Q15" s="113">
        <f t="shared" si="13"/>
        <v>11040</v>
      </c>
      <c r="R15" s="113">
        <f t="shared" si="14"/>
        <v>13021</v>
      </c>
      <c r="S15" s="113">
        <f t="shared" si="15"/>
        <v>13030</v>
      </c>
      <c r="T15" s="113">
        <f t="shared" si="16"/>
        <v>3031</v>
      </c>
      <c r="U15" s="113"/>
      <c r="V15" s="113"/>
      <c r="W15" s="91" t="s">
        <v>279</v>
      </c>
      <c r="X15" s="91" t="str">
        <f t="shared" si="66"/>
        <v>P-SV11-O-A11</v>
      </c>
      <c r="Y15" s="91">
        <f t="shared" si="67"/>
        <v>2048</v>
      </c>
      <c r="Z15" s="91">
        <f t="shared" si="68"/>
        <v>768</v>
      </c>
      <c r="AA15" s="91">
        <f t="shared" si="69"/>
        <v>768</v>
      </c>
      <c r="AB15" s="91">
        <f t="shared" si="70"/>
        <v>512</v>
      </c>
      <c r="AC15" s="91">
        <f t="shared" si="71"/>
        <v>512</v>
      </c>
      <c r="AD15" s="90" t="s">
        <v>80</v>
      </c>
      <c r="AE15" s="91" t="str">
        <f>CONCATENATE("/",LOWER(B15),"/",LOWER(LEFT(H15,4)),"/wasApp")</f>
        <v>/sv1/sv11/wasApp</v>
      </c>
      <c r="AF15" s="91" t="str">
        <f>CONCATENATE("/log/jboss7/",J15,"/",M15)</f>
        <v>/log/jboss7/P-SV11-O/P-SV11-O-F21</v>
      </c>
      <c r="AG15" s="90" t="s">
        <v>86</v>
      </c>
      <c r="AH15" s="114" t="s">
        <v>87</v>
      </c>
      <c r="AI15" s="114">
        <v>9998</v>
      </c>
      <c r="AJ15" s="115"/>
    </row>
    <row r="16" spans="1:36" s="51" customFormat="1" ht="16.5" customHeight="1" x14ac:dyDescent="0.3">
      <c r="A16" s="100" t="s">
        <v>12</v>
      </c>
      <c r="B16" s="8" t="s">
        <v>392</v>
      </c>
      <c r="C16" s="8">
        <v>2</v>
      </c>
      <c r="D16" s="52" t="s">
        <v>427</v>
      </c>
      <c r="E16" s="52" t="str">
        <f t="shared" si="8"/>
        <v>pflbwb02</v>
      </c>
      <c r="F16" s="52" t="str">
        <f t="shared" si="9"/>
        <v>pflbap02</v>
      </c>
      <c r="G16" s="9" t="s">
        <v>413</v>
      </c>
      <c r="H16" s="33" t="str">
        <f>VLOOKUP(G16,'Domain별 코드 체계'!$B$5:$J$29,7,0)</f>
        <v>SV11</v>
      </c>
      <c r="I16" s="126" t="s">
        <v>5</v>
      </c>
      <c r="J16" s="10" t="str">
        <f t="shared" si="64"/>
        <v>P-SV11-O</v>
      </c>
      <c r="K16" s="131" t="s">
        <v>88</v>
      </c>
      <c r="L16" s="8">
        <v>2</v>
      </c>
      <c r="M16" s="52" t="str">
        <f t="shared" si="65"/>
        <v>P-SV11-O-F22</v>
      </c>
      <c r="N16" s="158" t="str">
        <f>IF(K16="S",9,"8")&amp;VLOOKUP(H16,'WAS Domain'!$E$11:$I$27,3,0)&amp;VLOOKUP(H16,'WAS Domain'!$E$11:$I$27,4,0)&amp;IF(RIGHT(H16,1)="1",L16,RIGHT(H16,1))</f>
        <v>8112</v>
      </c>
      <c r="O16" s="158">
        <f t="shared" si="12"/>
        <v>8555</v>
      </c>
      <c r="P16" s="59" t="str">
        <f>VLOOKUP(H16,'WAS Domain'!$E$11:$I$26,2,0)&amp;VLOOKUP(H16,'WAS Domain'!$E$11:$I$26,3,0)&amp;VLOOKUP(H16,'WAS Domain'!$E$11:$I$26,4,0)&amp;VLOOKUP(H16,'WAS Domain'!$E$11:$I$26,5,0)&amp;IF(K16="A",0,IF(K16="F",L16,IF(LEFT(H16,3)="FWM",L16,9)))</f>
        <v>11112</v>
      </c>
      <c r="Q16" s="59">
        <f t="shared" si="13"/>
        <v>11041</v>
      </c>
      <c r="R16" s="59">
        <f t="shared" si="14"/>
        <v>13022</v>
      </c>
      <c r="S16" s="59">
        <f t="shared" si="15"/>
        <v>13031</v>
      </c>
      <c r="T16" s="59">
        <f t="shared" si="16"/>
        <v>3032</v>
      </c>
      <c r="U16" s="59"/>
      <c r="V16" s="59"/>
      <c r="W16" s="52" t="s">
        <v>279</v>
      </c>
      <c r="X16" s="52" t="str">
        <f t="shared" si="66"/>
        <v>P-SV11-O-A11</v>
      </c>
      <c r="Y16" s="52">
        <f t="shared" si="67"/>
        <v>2048</v>
      </c>
      <c r="Z16" s="52">
        <f t="shared" si="68"/>
        <v>768</v>
      </c>
      <c r="AA16" s="52">
        <f t="shared" si="69"/>
        <v>768</v>
      </c>
      <c r="AB16" s="52">
        <f t="shared" si="70"/>
        <v>512</v>
      </c>
      <c r="AC16" s="52">
        <f t="shared" si="71"/>
        <v>512</v>
      </c>
      <c r="AD16" s="8" t="s">
        <v>80</v>
      </c>
      <c r="AE16" s="57" t="str">
        <f t="shared" ref="AE16:AE21" si="72">CONCATENATE("/",LOWER(B16),"/",LOWER(LEFT(H16,4)),"/wasApp")</f>
        <v>/sv1/sv11/wasApp</v>
      </c>
      <c r="AF16" s="52" t="str">
        <f t="shared" ref="AF16:AF22" si="73">CONCATENATE("/log/jboss7/",J16,"/",M16)</f>
        <v>/log/jboss7/P-SV11-O/P-SV11-O-F22</v>
      </c>
      <c r="AG16" s="8" t="s">
        <v>86</v>
      </c>
      <c r="AH16" s="116" t="s">
        <v>87</v>
      </c>
      <c r="AI16" s="116">
        <v>9998</v>
      </c>
      <c r="AJ16" s="117"/>
    </row>
    <row r="17" spans="1:36" s="51" customFormat="1" ht="16.5" customHeight="1" x14ac:dyDescent="0.3">
      <c r="A17" s="100" t="s">
        <v>12</v>
      </c>
      <c r="B17" s="8" t="s">
        <v>392</v>
      </c>
      <c r="C17" s="8">
        <v>2</v>
      </c>
      <c r="D17" s="52" t="s">
        <v>427</v>
      </c>
      <c r="E17" s="52" t="str">
        <f t="shared" si="8"/>
        <v>pflbwb02</v>
      </c>
      <c r="F17" s="52" t="str">
        <f t="shared" si="9"/>
        <v>pflbap02</v>
      </c>
      <c r="G17" s="9" t="s">
        <v>396</v>
      </c>
      <c r="H17" s="33" t="str">
        <f>VLOOKUP(G17,'Domain별 코드 체계'!$B$5:$J$29,7,0)</f>
        <v>SV12</v>
      </c>
      <c r="I17" s="126" t="s">
        <v>5</v>
      </c>
      <c r="J17" s="10" t="str">
        <f t="shared" si="64"/>
        <v>P-SV12-O</v>
      </c>
      <c r="K17" s="131" t="s">
        <v>377</v>
      </c>
      <c r="L17" s="8">
        <v>1</v>
      </c>
      <c r="M17" s="52" t="str">
        <f t="shared" si="65"/>
        <v>P-SV12-O-S21</v>
      </c>
      <c r="N17" s="158" t="str">
        <f>IF(K17="S",9,"8")&amp;VLOOKUP(H17,'WAS Domain'!$E$11:$I$27,3,0)&amp;VLOOKUP(H17,'WAS Domain'!$E$11:$I$27,4,0)&amp;IF(RIGHT(H17,1)="1",L17,RIGHT(H17,1))</f>
        <v>9112</v>
      </c>
      <c r="O17" s="158">
        <f t="shared" si="12"/>
        <v>9555</v>
      </c>
      <c r="P17" s="59" t="str">
        <f>VLOOKUP(H17,'WAS Domain'!$E$11:$I$26,2,0)&amp;VLOOKUP(H17,'WAS Domain'!$E$11:$I$26,3,0)&amp;VLOOKUP(H17,'WAS Domain'!$E$11:$I$26,4,0)&amp;VLOOKUP(H17,'WAS Domain'!$E$11:$I$26,5,0)&amp;IF(K17="A",0,IF(K17="F",L17,IF(LEFT(H17,3)="FWM",L17,9)))</f>
        <v>11129</v>
      </c>
      <c r="Q17" s="59">
        <f t="shared" si="13"/>
        <v>11058</v>
      </c>
      <c r="R17" s="59">
        <f t="shared" si="14"/>
        <v>13039</v>
      </c>
      <c r="S17" s="59">
        <f t="shared" si="15"/>
        <v>13048</v>
      </c>
      <c r="T17" s="59">
        <f t="shared" si="16"/>
        <v>3049</v>
      </c>
      <c r="U17" s="59"/>
      <c r="V17" s="59"/>
      <c r="W17" s="52" t="s">
        <v>398</v>
      </c>
      <c r="X17" s="52" t="str">
        <f t="shared" si="66"/>
        <v>P-SV12-O-A11</v>
      </c>
      <c r="Y17" s="52">
        <f t="shared" si="67"/>
        <v>1024</v>
      </c>
      <c r="Z17" s="52">
        <f t="shared" si="68"/>
        <v>256</v>
      </c>
      <c r="AA17" s="52">
        <f t="shared" si="69"/>
        <v>256</v>
      </c>
      <c r="AB17" s="52">
        <f t="shared" si="70"/>
        <v>256</v>
      </c>
      <c r="AC17" s="52">
        <f t="shared" si="71"/>
        <v>256</v>
      </c>
      <c r="AD17" s="8" t="s">
        <v>80</v>
      </c>
      <c r="AE17" s="57" t="str">
        <f t="shared" si="72"/>
        <v>/sv1/sv12/wasApp</v>
      </c>
      <c r="AF17" s="52" t="str">
        <f t="shared" si="73"/>
        <v>/log/jboss7/P-SV12-O/P-SV12-O-S21</v>
      </c>
      <c r="AG17" s="8" t="s">
        <v>86</v>
      </c>
      <c r="AH17" s="116" t="s">
        <v>87</v>
      </c>
      <c r="AI17" s="116">
        <v>9998</v>
      </c>
      <c r="AJ17" s="117"/>
    </row>
    <row r="18" spans="1:36" s="51" customFormat="1" ht="16.5" customHeight="1" x14ac:dyDescent="0.3">
      <c r="A18" s="100" t="s">
        <v>12</v>
      </c>
      <c r="B18" s="8" t="s">
        <v>392</v>
      </c>
      <c r="C18" s="8">
        <v>2</v>
      </c>
      <c r="D18" s="52" t="s">
        <v>427</v>
      </c>
      <c r="E18" s="52" t="str">
        <f t="shared" si="8"/>
        <v>pflbwb02</v>
      </c>
      <c r="F18" s="52" t="str">
        <f t="shared" si="9"/>
        <v>pflbap02</v>
      </c>
      <c r="G18" s="9" t="s">
        <v>412</v>
      </c>
      <c r="H18" s="33" t="str">
        <f>VLOOKUP(G18,'Domain별 코드 체계'!$B$5:$J$29,7,0)</f>
        <v>SV13</v>
      </c>
      <c r="I18" s="126" t="s">
        <v>5</v>
      </c>
      <c r="J18" s="10" t="str">
        <f t="shared" si="64"/>
        <v>P-SV13-O</v>
      </c>
      <c r="K18" s="131" t="s">
        <v>88</v>
      </c>
      <c r="L18" s="8">
        <v>1</v>
      </c>
      <c r="M18" s="52" t="str">
        <f t="shared" si="65"/>
        <v>P-SV13-O-F21</v>
      </c>
      <c r="N18" s="59" t="str">
        <f>IF(K18="S",9,"8")&amp;VLOOKUP(H18,'WAS Domain'!$E$11:$I$27,3,0)&amp;VLOOKUP(H18,'WAS Domain'!$E$11:$I$27,4,0)&amp;IF(RIGHT(H18,1)="1",L18,RIGHT(H18,1))</f>
        <v>8113</v>
      </c>
      <c r="O18" s="59">
        <v>21443</v>
      </c>
      <c r="P18" s="59" t="str">
        <f>VLOOKUP(H18,'WAS Domain'!$E$11:$I$26,2,0)&amp;VLOOKUP(H18,'WAS Domain'!$E$11:$I$26,3,0)&amp;VLOOKUP(H18,'WAS Domain'!$E$11:$I$26,4,0)&amp;VLOOKUP(H18,'WAS Domain'!$E$11:$I$26,5,0)&amp;IF(K18="A",0,IF(K18="F",L18,IF(LEFT(H18,3)="FWM",L18,9)))</f>
        <v>11131</v>
      </c>
      <c r="Q18" s="59">
        <f t="shared" si="13"/>
        <v>11060</v>
      </c>
      <c r="R18" s="59">
        <f t="shared" si="14"/>
        <v>13041</v>
      </c>
      <c r="S18" s="59">
        <f t="shared" si="15"/>
        <v>13050</v>
      </c>
      <c r="T18" s="59">
        <f t="shared" si="16"/>
        <v>3051</v>
      </c>
      <c r="U18" s="59"/>
      <c r="V18" s="59"/>
      <c r="W18" s="52" t="s">
        <v>282</v>
      </c>
      <c r="X18" s="52" t="str">
        <f t="shared" si="66"/>
        <v>P-SV13-O-A11</v>
      </c>
      <c r="Y18" s="52">
        <f t="shared" si="67"/>
        <v>2048</v>
      </c>
      <c r="Z18" s="52">
        <f t="shared" si="68"/>
        <v>768</v>
      </c>
      <c r="AA18" s="52">
        <f t="shared" si="69"/>
        <v>768</v>
      </c>
      <c r="AB18" s="52">
        <f t="shared" si="70"/>
        <v>512</v>
      </c>
      <c r="AC18" s="52">
        <f t="shared" si="71"/>
        <v>512</v>
      </c>
      <c r="AD18" s="8" t="s">
        <v>56</v>
      </c>
      <c r="AE18" s="57" t="str">
        <f t="shared" si="72"/>
        <v>/sv1/sv13/wasApp</v>
      </c>
      <c r="AF18" s="52" t="str">
        <f t="shared" si="73"/>
        <v>/log/jboss7/P-SV13-O/P-SV13-O-F21</v>
      </c>
      <c r="AG18" s="8" t="s">
        <v>86</v>
      </c>
      <c r="AH18" s="116" t="s">
        <v>87</v>
      </c>
      <c r="AI18" s="116">
        <v>9998</v>
      </c>
      <c r="AJ18" s="117"/>
    </row>
    <row r="19" spans="1:36" s="51" customFormat="1" ht="16.5" customHeight="1" x14ac:dyDescent="0.3">
      <c r="A19" s="100" t="s">
        <v>12</v>
      </c>
      <c r="B19" s="8" t="s">
        <v>392</v>
      </c>
      <c r="C19" s="8">
        <v>2</v>
      </c>
      <c r="D19" s="52" t="s">
        <v>426</v>
      </c>
      <c r="E19" s="52" t="str">
        <f t="shared" ref="E19" si="74">CONCATENATE(A19,"flb","wb0",C19)</f>
        <v>pflbwb02</v>
      </c>
      <c r="F19" s="52" t="str">
        <f t="shared" ref="F19" si="75">CONCATENATE(A19,"flb","ap0",C19)</f>
        <v>pflbap02</v>
      </c>
      <c r="G19" s="9" t="s">
        <v>410</v>
      </c>
      <c r="H19" s="33" t="str">
        <f>VLOOKUP(G19,'Domain별 코드 체계'!$B$5:$J$29,7,0)</f>
        <v>SV13</v>
      </c>
      <c r="I19" s="126" t="s">
        <v>5</v>
      </c>
      <c r="J19" s="10" t="str">
        <f t="shared" ref="J19" si="76">CONCATENATE(UPPER(IF(A19="d","P",A19)),"-",H19,"-",I19)</f>
        <v>P-SV13-O</v>
      </c>
      <c r="K19" s="131" t="s">
        <v>88</v>
      </c>
      <c r="L19" s="8">
        <v>2</v>
      </c>
      <c r="M19" s="52" t="str">
        <f t="shared" ref="M19" si="77">CONCATENATE(J19,"-",K19,C19,L19)</f>
        <v>P-SV13-O-F22</v>
      </c>
      <c r="N19" s="158" t="str">
        <f>IF(K19="S",9,"8")&amp;VLOOKUP(H19,'WAS Domain'!$E$11:$I$27,3,0)&amp;VLOOKUP(H19,'WAS Domain'!$E$11:$I$27,4,0)&amp;IF(RIGHT(H19,1)="1",L19,RIGHT(H19,1))</f>
        <v>8113</v>
      </c>
      <c r="O19" s="158">
        <v>21443</v>
      </c>
      <c r="P19" s="59" t="str">
        <f>VLOOKUP(H19,'WAS Domain'!$E$11:$I$26,2,0)&amp;VLOOKUP(H19,'WAS Domain'!$E$11:$I$26,3,0)&amp;VLOOKUP(H19,'WAS Domain'!$E$11:$I$26,4,0)&amp;VLOOKUP(H19,'WAS Domain'!$E$11:$I$26,5,0)&amp;IF(K19="A",0,IF(K19="F",L19,IF(LEFT(H19,3)="FWM",L19,9)))</f>
        <v>11132</v>
      </c>
      <c r="Q19" s="59">
        <f t="shared" ref="Q19" si="78">T19+8009</f>
        <v>11061</v>
      </c>
      <c r="R19" s="59">
        <f t="shared" ref="R19" si="79">T19+9990</f>
        <v>13042</v>
      </c>
      <c r="S19" s="59">
        <f t="shared" ref="S19" si="80">T19+9999</f>
        <v>13051</v>
      </c>
      <c r="T19" s="59">
        <f t="shared" ref="T19" si="81">P19-8080</f>
        <v>3052</v>
      </c>
      <c r="U19" s="59"/>
      <c r="V19" s="59"/>
      <c r="W19" s="52" t="s">
        <v>282</v>
      </c>
      <c r="X19" s="52" t="str">
        <f t="shared" ref="X19" si="82">IF(K19="A","",CONCATENATE(J19,"-A11"))</f>
        <v>P-SV13-O-A11</v>
      </c>
      <c r="Y19" s="52">
        <f t="shared" ref="Y19" si="83">IF(K19="A",512,IF(K19="F",2048,IF(K19="S",1024)))</f>
        <v>2048</v>
      </c>
      <c r="Z19" s="52">
        <f t="shared" ref="Z19" si="84">IF(K19="A","",IF(K19="F",(Y19/16)*6,IF(K19="S",Y19/4)))</f>
        <v>768</v>
      </c>
      <c r="AA19" s="52">
        <f t="shared" ref="AA19" si="85">Z19</f>
        <v>768</v>
      </c>
      <c r="AB19" s="52">
        <f t="shared" ref="AB19" si="86">IF(K19="A","",IF(K19="F",(Y19/16)*4,IF(K19="S",Y19/4)))</f>
        <v>512</v>
      </c>
      <c r="AC19" s="52">
        <f t="shared" ref="AC19" si="87">AB19</f>
        <v>512</v>
      </c>
      <c r="AD19" s="8" t="s">
        <v>56</v>
      </c>
      <c r="AE19" s="57" t="str">
        <f t="shared" si="72"/>
        <v>/sv1/sv13/wasApp</v>
      </c>
      <c r="AF19" s="52" t="str">
        <f t="shared" ref="AF19" si="88">CONCATENATE("/log/jboss7/",J19,"/",M19)</f>
        <v>/log/jboss7/P-SV13-O/P-SV13-O-F22</v>
      </c>
      <c r="AG19" s="8" t="s">
        <v>86</v>
      </c>
      <c r="AH19" s="116" t="s">
        <v>87</v>
      </c>
      <c r="AI19" s="116">
        <v>9998</v>
      </c>
      <c r="AJ19" s="117"/>
    </row>
    <row r="20" spans="1:36" s="51" customFormat="1" ht="16.5" customHeight="1" x14ac:dyDescent="0.3">
      <c r="A20" s="100" t="s">
        <v>12</v>
      </c>
      <c r="B20" s="8" t="s">
        <v>392</v>
      </c>
      <c r="C20" s="8">
        <v>2</v>
      </c>
      <c r="D20" s="52" t="s">
        <v>427</v>
      </c>
      <c r="E20" s="52" t="str">
        <f>CONCATENATE(A20,"flb","wb0",C20)</f>
        <v>pflbwb02</v>
      </c>
      <c r="F20" s="52" t="str">
        <f t="shared" ref="F20" si="89">CONCATENATE(A20,"flb","ap0",C20)</f>
        <v>pflbap02</v>
      </c>
      <c r="G20" s="9" t="s">
        <v>417</v>
      </c>
      <c r="H20" s="33" t="str">
        <f>VLOOKUP(G20,'Domain별 코드 체계'!$B$5:$J$29,7,0)</f>
        <v>SV14</v>
      </c>
      <c r="I20" s="126" t="s">
        <v>375</v>
      </c>
      <c r="J20" s="10" t="str">
        <f t="shared" si="64"/>
        <v>P-SV14-O</v>
      </c>
      <c r="K20" s="131" t="s">
        <v>377</v>
      </c>
      <c r="L20" s="8">
        <v>1</v>
      </c>
      <c r="M20" s="52" t="str">
        <f t="shared" si="65"/>
        <v>P-SV14-O-S21</v>
      </c>
      <c r="N20" s="59" t="str">
        <f>IF(K20="S",9,"8")&amp;VLOOKUP(H20,'WAS Domain'!$E$11:$I$27,3,0)&amp;VLOOKUP(H20,'WAS Domain'!$E$11:$I$27,4,0)&amp;IF(RIGHT(H20,1)="1",L20,RIGHT(H20,1))</f>
        <v>9114</v>
      </c>
      <c r="O20" s="59">
        <f t="shared" ref="O20" si="90">N20+443</f>
        <v>9557</v>
      </c>
      <c r="P20" s="59" t="str">
        <f>VLOOKUP(H20,'WAS Domain'!$E$11:$I$26,2,0)&amp;VLOOKUP(H20,'WAS Domain'!$E$11:$I$26,3,0)&amp;VLOOKUP(H20,'WAS Domain'!$E$11:$I$26,4,0)&amp;VLOOKUP(H20,'WAS Domain'!$E$11:$I$26,5,0)&amp;IF(K20="A",0,IF(K20="F",L20,IF(LEFT(H20,3)="FWM",L20,9)))</f>
        <v>11149</v>
      </c>
      <c r="Q20" s="59">
        <f t="shared" ref="Q20" si="91">T20+8009</f>
        <v>11078</v>
      </c>
      <c r="R20" s="59">
        <f t="shared" ref="R20" si="92">T20+9990</f>
        <v>13059</v>
      </c>
      <c r="S20" s="59">
        <f t="shared" ref="S20" si="93">T20+9999</f>
        <v>13068</v>
      </c>
      <c r="T20" s="59">
        <f t="shared" ref="T20" si="94">P20-8080</f>
        <v>3069</v>
      </c>
      <c r="U20" s="59"/>
      <c r="V20" s="59"/>
      <c r="W20" s="52" t="s">
        <v>470</v>
      </c>
      <c r="X20" s="52" t="str">
        <f t="shared" si="66"/>
        <v>P-SV14-O-A11</v>
      </c>
      <c r="Y20" s="52">
        <f t="shared" si="67"/>
        <v>1024</v>
      </c>
      <c r="Z20" s="52">
        <f t="shared" si="68"/>
        <v>256</v>
      </c>
      <c r="AA20" s="52">
        <f t="shared" si="69"/>
        <v>256</v>
      </c>
      <c r="AB20" s="52">
        <f t="shared" si="70"/>
        <v>256</v>
      </c>
      <c r="AC20" s="52">
        <f t="shared" si="71"/>
        <v>256</v>
      </c>
      <c r="AD20" s="8" t="s">
        <v>56</v>
      </c>
      <c r="AE20" s="57" t="str">
        <f t="shared" si="72"/>
        <v>/sv1/sv14/wasApp</v>
      </c>
      <c r="AF20" s="52" t="str">
        <f t="shared" ref="AF20" si="95">CONCATENATE("/log/jboss7/",J20,"/",M20)</f>
        <v>/log/jboss7/P-SV14-O/P-SV14-O-S21</v>
      </c>
      <c r="AG20" s="8" t="s">
        <v>86</v>
      </c>
      <c r="AH20" s="116" t="s">
        <v>87</v>
      </c>
      <c r="AI20" s="116">
        <v>9998</v>
      </c>
      <c r="AJ20" s="117"/>
    </row>
    <row r="21" spans="1:36" s="51" customFormat="1" ht="16.5" customHeight="1" x14ac:dyDescent="0.3">
      <c r="A21" s="100" t="s">
        <v>12</v>
      </c>
      <c r="B21" s="8" t="s">
        <v>392</v>
      </c>
      <c r="C21" s="8">
        <v>2</v>
      </c>
      <c r="D21" s="52" t="s">
        <v>426</v>
      </c>
      <c r="E21" s="52" t="str">
        <f>CONCATENATE(A21,"flb","wb0",C21)</f>
        <v>pflbwb02</v>
      </c>
      <c r="F21" s="52" t="str">
        <f t="shared" ref="F21" si="96">CONCATENATE(A21,"flb","ap0",C21)</f>
        <v>pflbap02</v>
      </c>
      <c r="G21" s="261" t="s">
        <v>480</v>
      </c>
      <c r="H21" s="33" t="str">
        <f>VLOOKUP(G21,'Domain별 코드 체계'!$B$5:$J$29,7,0)</f>
        <v>SV15</v>
      </c>
      <c r="I21" s="126" t="s">
        <v>375</v>
      </c>
      <c r="J21" s="10" t="str">
        <f t="shared" ref="J21" si="97">CONCATENATE(UPPER(IF(A21="d","P",A21)),"-",H21,"-",I21)</f>
        <v>P-SV15-O</v>
      </c>
      <c r="K21" s="131" t="s">
        <v>88</v>
      </c>
      <c r="L21" s="8">
        <v>1</v>
      </c>
      <c r="M21" s="52" t="str">
        <f t="shared" ref="M21" si="98">CONCATENATE(J21,"-",K21,C21,L21)</f>
        <v>P-SV15-O-F21</v>
      </c>
      <c r="N21" s="158" t="str">
        <f>IF(K21="S",9,"8")&amp;VLOOKUP(H21,'WAS Domain'!$E$11:$I$27,3,0)&amp;VLOOKUP(H21,'WAS Domain'!$E$11:$I$27,4,0)&amp;IF(RIGHT(H21,1)="1",L21,RIGHT(H21,1))</f>
        <v>8115</v>
      </c>
      <c r="O21" s="158">
        <f t="shared" ref="O21" si="99">N21+443</f>
        <v>8558</v>
      </c>
      <c r="P21" s="158" t="str">
        <f>VLOOKUP(H21,'WAS Domain'!$E$11:$I$26,2,0)&amp;VLOOKUP(H21,'WAS Domain'!$E$11:$I$26,3,0)&amp;VLOOKUP(H21,'WAS Domain'!$E$11:$I$26,4,0)&amp;VLOOKUP(H21,'WAS Domain'!$E$11:$I$26,5,0)&amp;IF(K21="A",0,IF(K21="F",L21,IF(LEFT(H21,3)="FWM",L21,9)))</f>
        <v>11151</v>
      </c>
      <c r="Q21" s="158">
        <f t="shared" ref="Q21" si="100">T21+8009</f>
        <v>11080</v>
      </c>
      <c r="R21" s="158">
        <f t="shared" ref="R21" si="101">T21+9990</f>
        <v>13061</v>
      </c>
      <c r="S21" s="158">
        <f t="shared" ref="S21" si="102">T21+9999</f>
        <v>13070</v>
      </c>
      <c r="T21" s="158">
        <f t="shared" ref="T21" si="103">P21-8080</f>
        <v>3071</v>
      </c>
      <c r="U21" s="59"/>
      <c r="V21" s="59"/>
      <c r="W21" s="52" t="s">
        <v>470</v>
      </c>
      <c r="X21" s="52" t="str">
        <f t="shared" ref="X21" si="104">IF(K21="A","",CONCATENATE(J21,"-A11"))</f>
        <v>P-SV15-O-A11</v>
      </c>
      <c r="Y21" s="52">
        <f t="shared" ref="Y21" si="105">IF(K21="A",512,IF(K21="F",2048,IF(K21="S",1024)))</f>
        <v>2048</v>
      </c>
      <c r="Z21" s="52">
        <f t="shared" ref="Z21" si="106">IF(K21="A","",IF(K21="F",(Y21/16)*6,IF(K21="S",Y21/4)))</f>
        <v>768</v>
      </c>
      <c r="AA21" s="52">
        <f t="shared" ref="AA21" si="107">Z21</f>
        <v>768</v>
      </c>
      <c r="AB21" s="52">
        <f t="shared" ref="AB21" si="108">IF(K21="A","",IF(K21="F",(Y21/16)*4,IF(K21="S",Y21/4)))</f>
        <v>512</v>
      </c>
      <c r="AC21" s="52">
        <f t="shared" ref="AC21" si="109">AB21</f>
        <v>512</v>
      </c>
      <c r="AD21" s="8" t="s">
        <v>56</v>
      </c>
      <c r="AE21" s="57" t="str">
        <f t="shared" si="72"/>
        <v>/sv1/sv15/wasApp</v>
      </c>
      <c r="AF21" s="52" t="str">
        <f t="shared" ref="AF21" si="110">CONCATENATE("/log/jboss7/",J21,"/",M21)</f>
        <v>/log/jboss7/P-SV15-O/P-SV15-O-F21</v>
      </c>
      <c r="AG21" s="8" t="s">
        <v>86</v>
      </c>
      <c r="AH21" s="116" t="s">
        <v>87</v>
      </c>
      <c r="AI21" s="116">
        <v>9998</v>
      </c>
      <c r="AJ21" s="117"/>
    </row>
    <row r="22" spans="1:36" s="51" customFormat="1" ht="16.5" customHeight="1" thickBot="1" x14ac:dyDescent="0.35">
      <c r="A22" s="102" t="s">
        <v>12</v>
      </c>
      <c r="B22" s="103" t="s">
        <v>455</v>
      </c>
      <c r="C22" s="103">
        <v>2</v>
      </c>
      <c r="D22" s="104" t="s">
        <v>426</v>
      </c>
      <c r="E22" s="104" t="str">
        <f>CONCATENATE(A22,"flb","wb0",C22)</f>
        <v>pflbwb02</v>
      </c>
      <c r="F22" s="104" t="str">
        <f t="shared" si="9"/>
        <v>pflbap02</v>
      </c>
      <c r="G22" s="105" t="s">
        <v>460</v>
      </c>
      <c r="H22" s="106" t="str">
        <f>VLOOKUP(G22,'Domain별 코드 체계'!$B$5:$J$30,7,0)</f>
        <v>SF11</v>
      </c>
      <c r="I22" s="129" t="s">
        <v>375</v>
      </c>
      <c r="J22" s="107" t="str">
        <f t="shared" ref="J22" si="111">CONCATENATE(UPPER(IF(A22="d","P",A22)),"-",H22,"-",I22)</f>
        <v>P-SF11-O</v>
      </c>
      <c r="K22" s="134" t="s">
        <v>88</v>
      </c>
      <c r="L22" s="103">
        <v>1</v>
      </c>
      <c r="M22" s="104" t="str">
        <f t="shared" ref="M22" si="112">CONCATENATE(J22,"-",K22,C22,L22)</f>
        <v>P-SF11-O-F21</v>
      </c>
      <c r="N22" s="103" t="str">
        <f>IF(K22="S",9,"8")&amp;VLOOKUP(H22,'WAS Domain'!$E$11:$I$27,3,0)&amp;VLOOKUP(H22,'WAS Domain'!$E$11:$I$27,4,0)&amp;IF(RIGHT(H22,1)="1",L22,RIGHT(H22,1))</f>
        <v>8121</v>
      </c>
      <c r="O22" s="103">
        <f t="shared" si="12"/>
        <v>8564</v>
      </c>
      <c r="P22" s="189" t="str">
        <f>VLOOKUP(H22,'WAS Domain'!$E$11:$I$27,2,0)&amp;VLOOKUP(H22,'WAS Domain'!$E$11:$I$27,3,0)&amp;VLOOKUP(H22,'WAS Domain'!$E$11:$I$27,4,0)&amp;VLOOKUP(H22,'WAS Domain'!$E$11:$I$27,5,0)&amp;IF(K22="A",0,IF(K22="F",L22,IF(LEFT(H22,3)="FWM",L22,9)))</f>
        <v>11211</v>
      </c>
      <c r="Q22" s="189">
        <f t="shared" si="13"/>
        <v>11140</v>
      </c>
      <c r="R22" s="189">
        <f t="shared" si="14"/>
        <v>13121</v>
      </c>
      <c r="S22" s="189">
        <f t="shared" si="15"/>
        <v>13130</v>
      </c>
      <c r="T22" s="189">
        <f t="shared" si="16"/>
        <v>3131</v>
      </c>
      <c r="U22" s="118"/>
      <c r="V22" s="118"/>
      <c r="W22" s="104" t="s">
        <v>471</v>
      </c>
      <c r="X22" s="104" t="str">
        <f t="shared" ref="X22" si="113">IF(K22="A","",CONCATENATE(J22,"-A11"))</f>
        <v>P-SF11-O-A11</v>
      </c>
      <c r="Y22" s="104">
        <f t="shared" ref="Y22" si="114">IF(K22="A",512,IF(K22="F",2048,IF(K22="S",1024)))</f>
        <v>2048</v>
      </c>
      <c r="Z22" s="104">
        <f t="shared" ref="Z22" si="115">IF(K22="A","",IF(K22="F",(Y22/16)*6,IF(K22="S",Y22/4)))</f>
        <v>768</v>
      </c>
      <c r="AA22" s="104">
        <f t="shared" ref="AA22" si="116">Z22</f>
        <v>768</v>
      </c>
      <c r="AB22" s="104">
        <f t="shared" ref="AB22" si="117">IF(K22="A","",IF(K22="F",(Y22/16)*4,IF(K22="S",Y22/4)))</f>
        <v>512</v>
      </c>
      <c r="AC22" s="104">
        <f t="shared" ref="AC22" si="118">AB22</f>
        <v>512</v>
      </c>
      <c r="AD22" s="103" t="s">
        <v>80</v>
      </c>
      <c r="AE22" s="104" t="str">
        <f>CONCATENATE("/",LOWER(B22),"/",LOWER(LEFT(H22,4)),"/wasApp")</f>
        <v>/sf1/sf11/wasApp</v>
      </c>
      <c r="AF22" s="104" t="str">
        <f t="shared" si="73"/>
        <v>/log/jboss7/P-SF11-O/P-SF11-O-F21</v>
      </c>
      <c r="AG22" s="103" t="s">
        <v>86</v>
      </c>
      <c r="AH22" s="119" t="s">
        <v>87</v>
      </c>
      <c r="AI22" s="119">
        <v>9998</v>
      </c>
      <c r="AJ22" s="120"/>
    </row>
    <row r="23" spans="1:36" s="74" customFormat="1" ht="4.5" customHeight="1" x14ac:dyDescent="0.3">
      <c r="A23" s="83"/>
      <c r="B23" s="83"/>
      <c r="C23" s="83"/>
      <c r="D23" s="84"/>
      <c r="E23" s="84" t="str">
        <f t="shared" si="8"/>
        <v>flbwb0</v>
      </c>
      <c r="F23" s="84" t="str">
        <f t="shared" si="9"/>
        <v>flbap0</v>
      </c>
      <c r="G23" s="85"/>
      <c r="H23" s="86"/>
      <c r="I23" s="84"/>
      <c r="J23" s="83"/>
      <c r="K23" s="83"/>
      <c r="L23" s="83"/>
      <c r="M23" s="84"/>
      <c r="N23" s="87"/>
      <c r="O23" s="87"/>
      <c r="P23" s="87"/>
      <c r="Q23" s="87"/>
      <c r="R23" s="87"/>
      <c r="S23" s="87"/>
      <c r="T23" s="87"/>
      <c r="U23" s="87"/>
      <c r="V23" s="87"/>
      <c r="W23" s="84"/>
      <c r="X23" s="84"/>
      <c r="Y23" s="84"/>
      <c r="Z23" s="84"/>
      <c r="AA23" s="84"/>
      <c r="AB23" s="84"/>
      <c r="AC23" s="84"/>
      <c r="AD23" s="83"/>
      <c r="AE23" s="84"/>
      <c r="AF23" s="84"/>
      <c r="AG23" s="83"/>
      <c r="AH23" s="88"/>
      <c r="AI23" s="88"/>
      <c r="AJ23" s="84"/>
    </row>
    <row r="24" spans="1:36" s="51" customFormat="1" ht="16.5" customHeight="1" x14ac:dyDescent="0.3">
      <c r="A24" s="8" t="s">
        <v>12</v>
      </c>
      <c r="B24" s="65" t="s">
        <v>222</v>
      </c>
      <c r="C24" s="8">
        <v>1</v>
      </c>
      <c r="D24" s="52" t="s">
        <v>428</v>
      </c>
      <c r="E24" s="52" t="str">
        <f>CONCATENATE(A24,"itc","wb0",IF(C24=1,"a","b"))</f>
        <v>pitcwb0a</v>
      </c>
      <c r="F24" s="52" t="str">
        <f>CONCATENATE(A24,"itc","ap0",IF(C24=1,"a","b"))</f>
        <v>pitcap0a</v>
      </c>
      <c r="G24" s="9" t="s">
        <v>284</v>
      </c>
      <c r="H24" s="33" t="str">
        <f>VLOOKUP(G24,'Domain별 코드 체계'!$B$5:$J$29,7,0)</f>
        <v>BE11</v>
      </c>
      <c r="I24" s="126" t="s">
        <v>5</v>
      </c>
      <c r="J24" s="10" t="str">
        <f t="shared" ref="J24" si="119">CONCATENATE(UPPER(IF(A24="d","P",A24)),"-",H24,"-",I24)</f>
        <v>P-BE11-O</v>
      </c>
      <c r="K24" s="131" t="s">
        <v>88</v>
      </c>
      <c r="L24" s="65">
        <v>1</v>
      </c>
      <c r="M24" s="57" t="str">
        <f t="shared" ref="M24" si="120">CONCATENATE(J24,"-",K24,C24,L24)</f>
        <v>P-BE11-O-F11</v>
      </c>
      <c r="N24" s="59" t="str">
        <f>IF(K24="S",9,"8")&amp;VLOOKUP(H24,'WAS Domain'!$E$11:$I$26,3,0)&amp;VLOOKUP(H24,'WAS Domain'!$E$11:$I$26,4,0)&amp;IF(RIGHT(H24,1)="1",L24,RIGHT(H24,1))</f>
        <v>8231</v>
      </c>
      <c r="O24" s="59">
        <f t="shared" si="12"/>
        <v>8674</v>
      </c>
      <c r="P24" s="59" t="str">
        <f>VLOOKUP(H24,'WAS Domain'!$E$11:$I$26,2,0)&amp;VLOOKUP(H24,'WAS Domain'!$E$11:$I$26,3,0)&amp;VLOOKUP(H24,'WAS Domain'!$E$11:$I$26,4,0)&amp;VLOOKUP(H24,'WAS Domain'!$E$11:$I$26,5,0)&amp;IF(K24="A",0,IF(K24="F",L24,IF(LEFT(H24,3)="FWM",L24,9)))</f>
        <v>12311</v>
      </c>
      <c r="Q24" s="58">
        <f t="shared" ref="Q24:Q40" si="121">T24+8009</f>
        <v>12240</v>
      </c>
      <c r="R24" s="58">
        <f t="shared" ref="R24:R40" si="122">T24+9990</f>
        <v>14221</v>
      </c>
      <c r="S24" s="58">
        <f t="shared" si="15"/>
        <v>14230</v>
      </c>
      <c r="T24" s="58">
        <f t="shared" ref="T24:T35" si="123">P24-8080</f>
        <v>4231</v>
      </c>
      <c r="U24" s="58">
        <f>5999+T24</f>
        <v>10230</v>
      </c>
      <c r="V24" s="58">
        <f>7600+T24</f>
        <v>11831</v>
      </c>
      <c r="W24" s="57" t="s">
        <v>293</v>
      </c>
      <c r="X24" s="57" t="str">
        <f t="shared" ref="X24" si="124">IF(K24="A","",CONCATENATE(J24,"-A11"))</f>
        <v>P-BE11-O-A11</v>
      </c>
      <c r="Y24" s="57">
        <f t="shared" ref="Y24" si="125">IF(K24="A",512,IF(K24="F",2048,IF(K24="S",1024)))</f>
        <v>2048</v>
      </c>
      <c r="Z24" s="57">
        <f t="shared" ref="Z24" si="126">IF(K24="A","",IF(K24="F",(Y24/16)*6,IF(K24="S",Y24/4)))</f>
        <v>768</v>
      </c>
      <c r="AA24" s="57">
        <f t="shared" ref="AA24" si="127">Z24</f>
        <v>768</v>
      </c>
      <c r="AB24" s="57">
        <f t="shared" ref="AB24" si="128">IF(K24="A","",IF(K24="F",(Y24/16)*4,IF(K24="S",Y24/4)))</f>
        <v>512</v>
      </c>
      <c r="AC24" s="57">
        <f t="shared" ref="AC24" si="129">AB24</f>
        <v>512</v>
      </c>
      <c r="AD24" s="65" t="s">
        <v>80</v>
      </c>
      <c r="AE24" s="57" t="str">
        <f>CONCATENATE("/",LOWER(B24),"/",LOWER(LEFT(H24,4)),"/wasApp")</f>
        <v>/be1/be11/wasApp</v>
      </c>
      <c r="AF24" s="57" t="str">
        <f>CONCATENATE("/log/jboss7/",J24,"/",M24)</f>
        <v>/log/jboss7/P-BE11-O/P-BE11-O-F11</v>
      </c>
      <c r="AG24" s="65" t="s">
        <v>86</v>
      </c>
      <c r="AH24" s="13" t="s">
        <v>87</v>
      </c>
      <c r="AI24" s="13">
        <v>9998</v>
      </c>
      <c r="AJ24" s="57"/>
    </row>
    <row r="25" spans="1:36" s="51" customFormat="1" ht="16.5" customHeight="1" x14ac:dyDescent="0.3">
      <c r="A25" s="8" t="s">
        <v>12</v>
      </c>
      <c r="B25" s="65" t="s">
        <v>222</v>
      </c>
      <c r="C25" s="8">
        <v>1</v>
      </c>
      <c r="D25" s="52" t="s">
        <v>429</v>
      </c>
      <c r="E25" s="52" t="str">
        <f t="shared" ref="E25:E35" si="130">CONCATENATE(A25,"itc","wb0",IF(C25=1,"a","b"))</f>
        <v>pitcwb0a</v>
      </c>
      <c r="F25" s="52" t="str">
        <f t="shared" ref="F25:F40" si="131">CONCATENATE(A25,"itc","ap0",IF(C25=1,"a","b"))</f>
        <v>pitcap0a</v>
      </c>
      <c r="G25" s="9" t="s">
        <v>284</v>
      </c>
      <c r="H25" s="33" t="str">
        <f>VLOOKUP(G25,'Domain별 코드 체계'!$B$5:$J$29,7,0)</f>
        <v>BE11</v>
      </c>
      <c r="I25" s="126" t="s">
        <v>5</v>
      </c>
      <c r="J25" s="10" t="str">
        <f t="shared" ref="J25:J26" si="132">CONCATENATE(UPPER(IF(A25="d","P",A25)),"-",H25,"-",I25)</f>
        <v>P-BE11-O</v>
      </c>
      <c r="K25" s="131" t="s">
        <v>88</v>
      </c>
      <c r="L25" s="65">
        <v>2</v>
      </c>
      <c r="M25" s="57" t="str">
        <f t="shared" ref="M25:M26" si="133">CONCATENATE(J25,"-",K25,C25,L25)</f>
        <v>P-BE11-O-F12</v>
      </c>
      <c r="N25" s="158" t="str">
        <f>IF(K25="S",9,"8")&amp;VLOOKUP(H25,'WAS Domain'!$E$11:$I$26,3,0)&amp;VLOOKUP(H25,'WAS Domain'!$E$11:$I$26,4,0)&amp;IF(RIGHT(H25,1)="1",L25,RIGHT(H25,1))</f>
        <v>8232</v>
      </c>
      <c r="O25" s="158">
        <f t="shared" si="12"/>
        <v>8675</v>
      </c>
      <c r="P25" s="158" t="str">
        <f>VLOOKUP(H25,'WAS Domain'!$E$11:$I$26,2,0)&amp;VLOOKUP(H25,'WAS Domain'!$E$11:$I$26,3,0)&amp;VLOOKUP(H25,'WAS Domain'!$E$11:$I$26,4,0)&amp;VLOOKUP(H25,'WAS Domain'!$E$11:$I$26,5,0)&amp;IF(K25="A",0,IF(K25="F",L25,IF(LEFT(H25,3)="FWM",L25,9)))</f>
        <v>12312</v>
      </c>
      <c r="Q25" s="190">
        <f t="shared" si="121"/>
        <v>12241</v>
      </c>
      <c r="R25" s="190">
        <f t="shared" si="122"/>
        <v>14222</v>
      </c>
      <c r="S25" s="190">
        <f t="shared" si="15"/>
        <v>14231</v>
      </c>
      <c r="T25" s="190">
        <f t="shared" si="123"/>
        <v>4232</v>
      </c>
      <c r="U25" s="190">
        <f t="shared" ref="U25:U57" si="134">5999+T25</f>
        <v>10231</v>
      </c>
      <c r="V25" s="190">
        <f t="shared" ref="V25:V58" si="135">7600+T25</f>
        <v>11832</v>
      </c>
      <c r="W25" s="57" t="s">
        <v>292</v>
      </c>
      <c r="X25" s="57" t="str">
        <f t="shared" ref="X25:X26" si="136">IF(K25="A","",CONCATENATE(J25,"-A11"))</f>
        <v>P-BE11-O-A11</v>
      </c>
      <c r="Y25" s="57">
        <f t="shared" ref="Y25:Y26" si="137">IF(K25="A",512,IF(K25="F",2048,IF(K25="S",1024)))</f>
        <v>2048</v>
      </c>
      <c r="Z25" s="57">
        <f t="shared" ref="Z25:Z26" si="138">IF(K25="A","",IF(K25="F",(Y25/16)*6,IF(K25="S",Y25/4)))</f>
        <v>768</v>
      </c>
      <c r="AA25" s="57">
        <f t="shared" ref="AA25:AA26" si="139">Z25</f>
        <v>768</v>
      </c>
      <c r="AB25" s="57">
        <f t="shared" ref="AB25:AB26" si="140">IF(K25="A","",IF(K25="F",(Y25/16)*4,IF(K25="S",Y25/4)))</f>
        <v>512</v>
      </c>
      <c r="AC25" s="57">
        <f t="shared" ref="AC25:AC26" si="141">AB25</f>
        <v>512</v>
      </c>
      <c r="AD25" s="65" t="s">
        <v>80</v>
      </c>
      <c r="AE25" s="57" t="str">
        <f t="shared" ref="AE25:AE39" si="142">CONCATENATE("/",LOWER(B25),"/",LOWER(LEFT(H25,4)),"/wasApp")</f>
        <v>/be1/be11/wasApp</v>
      </c>
      <c r="AF25" s="57" t="str">
        <f>CONCATENATE("/log/jboss7/",J25,"/",M25)</f>
        <v>/log/jboss7/P-BE11-O/P-BE11-O-F12</v>
      </c>
      <c r="AG25" s="65" t="s">
        <v>86</v>
      </c>
      <c r="AH25" s="13" t="s">
        <v>87</v>
      </c>
      <c r="AI25" s="13">
        <v>9998</v>
      </c>
      <c r="AJ25" s="57"/>
    </row>
    <row r="26" spans="1:36" s="51" customFormat="1" ht="16.5" customHeight="1" x14ac:dyDescent="0.3">
      <c r="A26" s="8" t="s">
        <v>12</v>
      </c>
      <c r="B26" s="8" t="s">
        <v>236</v>
      </c>
      <c r="C26" s="8">
        <v>1</v>
      </c>
      <c r="D26" s="52" t="s">
        <v>428</v>
      </c>
      <c r="E26" s="52" t="str">
        <f t="shared" si="130"/>
        <v>pitcwb0a</v>
      </c>
      <c r="F26" s="52" t="str">
        <f t="shared" si="131"/>
        <v>pitcap0a</v>
      </c>
      <c r="G26" s="9" t="s">
        <v>294</v>
      </c>
      <c r="H26" s="33" t="str">
        <f>VLOOKUP(G26,'Domain별 코드 체계'!$B$5:$J$29,7,0)</f>
        <v>PQ11</v>
      </c>
      <c r="I26" s="126" t="s">
        <v>5</v>
      </c>
      <c r="J26" s="10" t="str">
        <f t="shared" si="132"/>
        <v>P-PQ11-O</v>
      </c>
      <c r="K26" s="131" t="s">
        <v>88</v>
      </c>
      <c r="L26" s="65">
        <v>1</v>
      </c>
      <c r="M26" s="57" t="str">
        <f t="shared" si="133"/>
        <v>P-PQ11-O-F11</v>
      </c>
      <c r="N26" s="59" t="str">
        <f>IF(K26="S",9,"8")&amp;VLOOKUP(H26,'WAS Domain'!$E$11:$I$26,3,0)&amp;VLOOKUP(H26,'WAS Domain'!$E$11:$I$26,4,0)&amp;IF(RIGHT(H26,1)="1",L26,RIGHT(H26,1))</f>
        <v>8221</v>
      </c>
      <c r="O26" s="59">
        <f t="shared" si="12"/>
        <v>8664</v>
      </c>
      <c r="P26" s="59" t="str">
        <f>VLOOKUP(H26,'WAS Domain'!$E$11:$I$26,2,0)&amp;VLOOKUP(H26,'WAS Domain'!$E$11:$I$26,3,0)&amp;VLOOKUP(H26,'WAS Domain'!$E$11:$I$26,4,0)&amp;VLOOKUP(H26,'WAS Domain'!$E$11:$I$26,5,0)&amp;IF(K26="A",0,IF(K26="F",L26,IF(LEFT(H26,3)="FWM",L26,9)))</f>
        <v>12211</v>
      </c>
      <c r="Q26" s="58">
        <f t="shared" si="121"/>
        <v>12140</v>
      </c>
      <c r="R26" s="58">
        <f t="shared" si="122"/>
        <v>14121</v>
      </c>
      <c r="S26" s="58">
        <f t="shared" si="15"/>
        <v>14130</v>
      </c>
      <c r="T26" s="58">
        <f t="shared" si="123"/>
        <v>4131</v>
      </c>
      <c r="U26" s="58">
        <f t="shared" si="134"/>
        <v>10130</v>
      </c>
      <c r="V26" s="58">
        <f t="shared" si="135"/>
        <v>11731</v>
      </c>
      <c r="W26" s="57" t="s">
        <v>295</v>
      </c>
      <c r="X26" s="57" t="str">
        <f t="shared" si="136"/>
        <v>P-PQ11-O-A11</v>
      </c>
      <c r="Y26" s="57">
        <f t="shared" si="137"/>
        <v>2048</v>
      </c>
      <c r="Z26" s="57">
        <f t="shared" si="138"/>
        <v>768</v>
      </c>
      <c r="AA26" s="57">
        <f t="shared" si="139"/>
        <v>768</v>
      </c>
      <c r="AB26" s="57">
        <f t="shared" si="140"/>
        <v>512</v>
      </c>
      <c r="AC26" s="57">
        <f t="shared" si="141"/>
        <v>512</v>
      </c>
      <c r="AD26" s="65" t="s">
        <v>80</v>
      </c>
      <c r="AE26" s="57" t="str">
        <f t="shared" si="142"/>
        <v>/pq1/pq11/wasApp</v>
      </c>
      <c r="AF26" s="57" t="str">
        <f>CONCATENATE("/log/jboss7/",J26,"/",M26)</f>
        <v>/log/jboss7/P-PQ11-O/P-PQ11-O-F11</v>
      </c>
      <c r="AG26" s="65" t="s">
        <v>86</v>
      </c>
      <c r="AH26" s="13" t="s">
        <v>87</v>
      </c>
      <c r="AI26" s="13">
        <v>9998</v>
      </c>
      <c r="AJ26" s="57"/>
    </row>
    <row r="27" spans="1:36" s="51" customFormat="1" ht="16.5" customHeight="1" x14ac:dyDescent="0.3">
      <c r="A27" s="8" t="s">
        <v>12</v>
      </c>
      <c r="B27" s="8" t="s">
        <v>236</v>
      </c>
      <c r="C27" s="8">
        <v>1</v>
      </c>
      <c r="D27" s="52" t="s">
        <v>430</v>
      </c>
      <c r="E27" s="52" t="str">
        <f t="shared" si="130"/>
        <v>pitcwb0a</v>
      </c>
      <c r="F27" s="52" t="str">
        <f t="shared" si="131"/>
        <v>pitcap0a</v>
      </c>
      <c r="G27" s="9" t="s">
        <v>288</v>
      </c>
      <c r="H27" s="33" t="str">
        <f>VLOOKUP(G27,'Domain별 코드 체계'!$B$5:$J$29,7,0)</f>
        <v>PQ11</v>
      </c>
      <c r="I27" s="126" t="s">
        <v>5</v>
      </c>
      <c r="J27" s="10" t="str">
        <f t="shared" ref="J27" si="143">CONCATENATE(UPPER(IF(A27="d","P",A27)),"-",H27,"-",I27)</f>
        <v>P-PQ11-O</v>
      </c>
      <c r="K27" s="131" t="s">
        <v>88</v>
      </c>
      <c r="L27" s="65">
        <v>2</v>
      </c>
      <c r="M27" s="57" t="str">
        <f t="shared" ref="M27" si="144">CONCATENATE(J27,"-",K27,C27,L27)</f>
        <v>P-PQ11-O-F12</v>
      </c>
      <c r="N27" s="158" t="str">
        <f>IF(K27="S",9,"8")&amp;VLOOKUP(H27,'WAS Domain'!$E$11:$I$26,3,0)&amp;VLOOKUP(H27,'WAS Domain'!$E$11:$I$26,4,0)&amp;IF(RIGHT(H27,1)="1",L27,RIGHT(H27,1))</f>
        <v>8222</v>
      </c>
      <c r="O27" s="158">
        <f t="shared" si="12"/>
        <v>8665</v>
      </c>
      <c r="P27" s="59" t="str">
        <f>VLOOKUP(H27,'WAS Domain'!$E$11:$I$26,2,0)&amp;VLOOKUP(H27,'WAS Domain'!$E$11:$I$26,3,0)&amp;VLOOKUP(H27,'WAS Domain'!$E$11:$I$26,4,0)&amp;VLOOKUP(H27,'WAS Domain'!$E$11:$I$26,5,0)&amp;IF(K27="A",0,IF(K27="F",L27,IF(LEFT(H27,3)="FWM",L27,9)))</f>
        <v>12212</v>
      </c>
      <c r="Q27" s="58">
        <f t="shared" si="121"/>
        <v>12141</v>
      </c>
      <c r="R27" s="58">
        <f t="shared" si="122"/>
        <v>14122</v>
      </c>
      <c r="S27" s="58">
        <f t="shared" si="15"/>
        <v>14131</v>
      </c>
      <c r="T27" s="58">
        <f t="shared" si="123"/>
        <v>4132</v>
      </c>
      <c r="U27" s="58">
        <f t="shared" si="134"/>
        <v>10131</v>
      </c>
      <c r="V27" s="58">
        <f t="shared" si="135"/>
        <v>11732</v>
      </c>
      <c r="W27" s="57" t="s">
        <v>296</v>
      </c>
      <c r="X27" s="57" t="str">
        <f t="shared" ref="X27" si="145">IF(K27="A","",CONCATENATE(J27,"-A11"))</f>
        <v>P-PQ11-O-A11</v>
      </c>
      <c r="Y27" s="57">
        <f t="shared" ref="Y27" si="146">IF(K27="A",512,IF(K27="F",2048,IF(K27="S",1024)))</f>
        <v>2048</v>
      </c>
      <c r="Z27" s="57">
        <f t="shared" ref="Z27" si="147">IF(K27="A","",IF(K27="F",(Y27/16)*6,IF(K27="S",Y27/4)))</f>
        <v>768</v>
      </c>
      <c r="AA27" s="57">
        <f t="shared" ref="AA27" si="148">Z27</f>
        <v>768</v>
      </c>
      <c r="AB27" s="57">
        <f t="shared" ref="AB27" si="149">IF(K27="A","",IF(K27="F",(Y27/16)*4,IF(K27="S",Y27/4)))</f>
        <v>512</v>
      </c>
      <c r="AC27" s="57">
        <f t="shared" ref="AC27" si="150">AB27</f>
        <v>512</v>
      </c>
      <c r="AD27" s="65" t="s">
        <v>80</v>
      </c>
      <c r="AE27" s="57" t="str">
        <f t="shared" si="142"/>
        <v>/pq1/pq11/wasApp</v>
      </c>
      <c r="AF27" s="57" t="str">
        <f>CONCATENATE("/log/jboss7/",J27,"/",M27)</f>
        <v>/log/jboss7/P-PQ11-O/P-PQ11-O-F12</v>
      </c>
      <c r="AG27" s="65" t="s">
        <v>86</v>
      </c>
      <c r="AH27" s="13" t="s">
        <v>87</v>
      </c>
      <c r="AI27" s="13">
        <v>9998</v>
      </c>
      <c r="AJ27" s="57"/>
    </row>
    <row r="28" spans="1:36" s="51" customFormat="1" ht="16.5" customHeight="1" x14ac:dyDescent="0.3">
      <c r="A28" s="8" t="s">
        <v>12</v>
      </c>
      <c r="B28" s="8" t="s">
        <v>236</v>
      </c>
      <c r="C28" s="8">
        <v>1</v>
      </c>
      <c r="D28" s="52" t="s">
        <v>431</v>
      </c>
      <c r="E28" s="52" t="str">
        <f t="shared" si="130"/>
        <v>pitcwb0a</v>
      </c>
      <c r="F28" s="52" t="str">
        <f t="shared" si="131"/>
        <v>pitcap0a</v>
      </c>
      <c r="G28" s="9" t="s">
        <v>333</v>
      </c>
      <c r="H28" s="33" t="str">
        <f>VLOOKUP(G28,'Domain별 코드 체계'!$B$5:$J$29,7,0)</f>
        <v>PQ11</v>
      </c>
      <c r="I28" s="126" t="s">
        <v>5</v>
      </c>
      <c r="J28" s="10" t="str">
        <f t="shared" ref="J28:J44" si="151">CONCATENATE(UPPER(IF(A28="d","P",A28)),"-",H28,"-",I28)</f>
        <v>P-PQ11-O</v>
      </c>
      <c r="K28" s="131" t="s">
        <v>389</v>
      </c>
      <c r="L28" s="65">
        <v>1</v>
      </c>
      <c r="M28" s="57" t="str">
        <f t="shared" ref="M28:M44" si="152">CONCATENATE(J28,"-",K28,C28,L28)</f>
        <v>P-PQ11-O-S11</v>
      </c>
      <c r="N28" s="59" t="str">
        <f>IF(K28="S",9,"8")&amp;VLOOKUP(H28,'WAS Domain'!$E$11:$I$26,3,0)&amp;VLOOKUP(H28,'WAS Domain'!$E$11:$I$26,4,0)&amp;IF(RIGHT(H28,1)="1",L28,RIGHT(H28,1))</f>
        <v>9221</v>
      </c>
      <c r="O28" s="59">
        <f t="shared" si="12"/>
        <v>9664</v>
      </c>
      <c r="P28" s="59" t="str">
        <f>VLOOKUP(H28,'WAS Domain'!$E$11:$I$26,2,0)&amp;VLOOKUP(H28,'WAS Domain'!$E$11:$I$26,3,0)&amp;VLOOKUP(H28,'WAS Domain'!$E$11:$I$26,4,0)&amp;VLOOKUP(H28,'WAS Domain'!$E$11:$I$26,5,0)&amp;IF(K28="A",0,IF(K28="F",L28,IF(LEFT(H28,3)="FWM",L28,9)))</f>
        <v>12219</v>
      </c>
      <c r="Q28" s="58">
        <f t="shared" si="121"/>
        <v>12148</v>
      </c>
      <c r="R28" s="58">
        <f t="shared" si="122"/>
        <v>14129</v>
      </c>
      <c r="S28" s="58">
        <f t="shared" si="15"/>
        <v>14138</v>
      </c>
      <c r="T28" s="58">
        <f t="shared" si="123"/>
        <v>4139</v>
      </c>
      <c r="U28" s="58">
        <f t="shared" si="134"/>
        <v>10138</v>
      </c>
      <c r="V28" s="58">
        <f t="shared" si="135"/>
        <v>11739</v>
      </c>
      <c r="W28" s="57" t="s">
        <v>334</v>
      </c>
      <c r="X28" s="57" t="str">
        <f t="shared" ref="X28:X44" si="153">IF(K28="A","",CONCATENATE(J28,"-A11"))</f>
        <v>P-PQ11-O-A11</v>
      </c>
      <c r="Y28" s="57">
        <f t="shared" ref="Y28:Y44" si="154">IF(K28="A",512,IF(K28="F",2048,IF(K28="S",1024)))</f>
        <v>1024</v>
      </c>
      <c r="Z28" s="57">
        <f t="shared" ref="Z28:Z44" si="155">IF(K28="A","",IF(K28="F",(Y28/16)*6,IF(K28="S",Y28/4)))</f>
        <v>256</v>
      </c>
      <c r="AA28" s="57">
        <f t="shared" ref="AA28:AA44" si="156">Z28</f>
        <v>256</v>
      </c>
      <c r="AB28" s="57">
        <f t="shared" ref="AB28:AB44" si="157">IF(K28="A","",IF(K28="F",(Y28/16)*4,IF(K28="S",Y28/4)))</f>
        <v>256</v>
      </c>
      <c r="AC28" s="57">
        <f t="shared" ref="AC28:AC44" si="158">AB28</f>
        <v>256</v>
      </c>
      <c r="AD28" s="65" t="s">
        <v>80</v>
      </c>
      <c r="AE28" s="57" t="str">
        <f t="shared" si="142"/>
        <v>/pq1/pq11/wasApp</v>
      </c>
      <c r="AF28" s="57" t="str">
        <f t="shared" ref="AF28:AF40" si="159">CONCATENATE("/log/jboss7/",J28,"/",M28)</f>
        <v>/log/jboss7/P-PQ11-O/P-PQ11-O-S11</v>
      </c>
      <c r="AG28" s="65" t="s">
        <v>86</v>
      </c>
      <c r="AH28" s="13" t="s">
        <v>87</v>
      </c>
      <c r="AI28" s="13">
        <v>9998</v>
      </c>
      <c r="AJ28" s="57"/>
    </row>
    <row r="29" spans="1:36" s="51" customFormat="1" ht="16.5" customHeight="1" x14ac:dyDescent="0.3">
      <c r="A29" s="8" t="s">
        <v>12</v>
      </c>
      <c r="B29" s="8" t="s">
        <v>223</v>
      </c>
      <c r="C29" s="8">
        <v>1</v>
      </c>
      <c r="D29" s="52" t="s">
        <v>429</v>
      </c>
      <c r="E29" s="52" t="str">
        <f t="shared" si="130"/>
        <v>pitcwb0a</v>
      </c>
      <c r="F29" s="52" t="str">
        <f t="shared" si="131"/>
        <v>pitcap0a</v>
      </c>
      <c r="G29" s="9" t="s">
        <v>289</v>
      </c>
      <c r="H29" s="33" t="str">
        <f>VLOOKUP(G29,'Domain별 코드 체계'!$B$5:$J$29,7,0)</f>
        <v>SP11</v>
      </c>
      <c r="I29" s="126" t="s">
        <v>5</v>
      </c>
      <c r="J29" s="10" t="str">
        <f t="shared" si="151"/>
        <v>P-SP11-O</v>
      </c>
      <c r="K29" s="131" t="s">
        <v>88</v>
      </c>
      <c r="L29" s="65">
        <v>1</v>
      </c>
      <c r="M29" s="57" t="str">
        <f t="shared" si="152"/>
        <v>P-SP11-O-F11</v>
      </c>
      <c r="N29" s="59" t="str">
        <f>IF(K29="S",9,"8")&amp;VLOOKUP(H29,'WAS Domain'!$E$11:$I$26,3,0)&amp;VLOOKUP(H29,'WAS Domain'!$E$11:$I$26,4,0)&amp;IF(RIGHT(H29,1)="1",L29,RIGHT(H29,1))</f>
        <v>8211</v>
      </c>
      <c r="O29" s="59">
        <f t="shared" si="12"/>
        <v>8654</v>
      </c>
      <c r="P29" s="59" t="str">
        <f>VLOOKUP(H29,'WAS Domain'!$E$11:$I$26,2,0)&amp;VLOOKUP(H29,'WAS Domain'!$E$11:$I$26,3,0)&amp;VLOOKUP(H29,'WAS Domain'!$E$11:$I$26,4,0)&amp;VLOOKUP(H29,'WAS Domain'!$E$11:$I$26,5,0)&amp;IF(K29="A",0,IF(K29="F",L29,IF(LEFT(H29,3)="FWM",L29,9)))</f>
        <v>12111</v>
      </c>
      <c r="Q29" s="58">
        <f t="shared" si="121"/>
        <v>12040</v>
      </c>
      <c r="R29" s="58">
        <f t="shared" si="122"/>
        <v>14021</v>
      </c>
      <c r="S29" s="58">
        <f t="shared" si="15"/>
        <v>14030</v>
      </c>
      <c r="T29" s="58">
        <f t="shared" si="123"/>
        <v>4031</v>
      </c>
      <c r="U29" s="58">
        <f t="shared" si="134"/>
        <v>10030</v>
      </c>
      <c r="V29" s="58">
        <f t="shared" si="135"/>
        <v>11631</v>
      </c>
      <c r="W29" s="57" t="s">
        <v>335</v>
      </c>
      <c r="X29" s="57" t="str">
        <f t="shared" si="153"/>
        <v>P-SP11-O-A11</v>
      </c>
      <c r="Y29" s="57">
        <f t="shared" si="154"/>
        <v>2048</v>
      </c>
      <c r="Z29" s="57">
        <f t="shared" si="155"/>
        <v>768</v>
      </c>
      <c r="AA29" s="57">
        <f t="shared" si="156"/>
        <v>768</v>
      </c>
      <c r="AB29" s="57">
        <f t="shared" si="157"/>
        <v>512</v>
      </c>
      <c r="AC29" s="57">
        <f t="shared" si="158"/>
        <v>512</v>
      </c>
      <c r="AD29" s="65" t="s">
        <v>80</v>
      </c>
      <c r="AE29" s="57" t="str">
        <f t="shared" si="142"/>
        <v>/sp1/sp11/wasApp</v>
      </c>
      <c r="AF29" s="57" t="str">
        <f t="shared" si="159"/>
        <v>/log/jboss7/P-SP11-O/P-SP11-O-F11</v>
      </c>
      <c r="AG29" s="65" t="s">
        <v>86</v>
      </c>
      <c r="AH29" s="13" t="s">
        <v>87</v>
      </c>
      <c r="AI29" s="13">
        <v>9998</v>
      </c>
      <c r="AJ29" s="57"/>
    </row>
    <row r="30" spans="1:36" s="51" customFormat="1" ht="16.5" customHeight="1" x14ac:dyDescent="0.3">
      <c r="A30" s="8" t="s">
        <v>12</v>
      </c>
      <c r="B30" s="8" t="s">
        <v>223</v>
      </c>
      <c r="C30" s="8">
        <v>1</v>
      </c>
      <c r="D30" s="52" t="s">
        <v>428</v>
      </c>
      <c r="E30" s="52" t="str">
        <f t="shared" si="130"/>
        <v>pitcwb0a</v>
      </c>
      <c r="F30" s="52" t="str">
        <f t="shared" si="131"/>
        <v>pitcap0a</v>
      </c>
      <c r="G30" s="9" t="s">
        <v>289</v>
      </c>
      <c r="H30" s="33" t="str">
        <f>VLOOKUP(G30,'Domain별 코드 체계'!$B$5:$J$29,7,0)</f>
        <v>SP11</v>
      </c>
      <c r="I30" s="126" t="s">
        <v>5</v>
      </c>
      <c r="J30" s="10" t="str">
        <f t="shared" si="151"/>
        <v>P-SP11-O</v>
      </c>
      <c r="K30" s="131" t="s">
        <v>377</v>
      </c>
      <c r="L30" s="65">
        <v>1</v>
      </c>
      <c r="M30" s="57" t="str">
        <f t="shared" si="152"/>
        <v>P-SP11-O-S11</v>
      </c>
      <c r="N30" s="59" t="str">
        <f>IF(K30="S",9,"8")&amp;VLOOKUP(H30,'WAS Domain'!$E$11:$I$26,3,0)&amp;VLOOKUP(H30,'WAS Domain'!$E$11:$I$26,4,0)&amp;IF(RIGHT(H30,1)="1",L30,RIGHT(H30,1))</f>
        <v>9211</v>
      </c>
      <c r="O30" s="59">
        <f t="shared" si="12"/>
        <v>9654</v>
      </c>
      <c r="P30" s="59" t="str">
        <f>VLOOKUP(H30,'WAS Domain'!$E$11:$I$26,2,0)&amp;VLOOKUP(H30,'WAS Domain'!$E$11:$I$26,3,0)&amp;VLOOKUP(H30,'WAS Domain'!$E$11:$I$26,4,0)&amp;VLOOKUP(H30,'WAS Domain'!$E$11:$I$26,5,0)&amp;IF(K30="A",0,IF(K30="F",L30,IF(LEFT(H30,3)="FWM",L30,9)))</f>
        <v>12119</v>
      </c>
      <c r="Q30" s="58">
        <f t="shared" si="121"/>
        <v>12048</v>
      </c>
      <c r="R30" s="58">
        <f t="shared" si="122"/>
        <v>14029</v>
      </c>
      <c r="S30" s="58">
        <f t="shared" si="15"/>
        <v>14038</v>
      </c>
      <c r="T30" s="58">
        <f t="shared" si="123"/>
        <v>4039</v>
      </c>
      <c r="U30" s="58">
        <f t="shared" si="134"/>
        <v>10038</v>
      </c>
      <c r="V30" s="58">
        <f t="shared" si="135"/>
        <v>11639</v>
      </c>
      <c r="W30" s="57" t="s">
        <v>336</v>
      </c>
      <c r="X30" s="57" t="str">
        <f t="shared" si="153"/>
        <v>P-SP11-O-A11</v>
      </c>
      <c r="Y30" s="57">
        <f t="shared" si="154"/>
        <v>1024</v>
      </c>
      <c r="Z30" s="57">
        <f t="shared" si="155"/>
        <v>256</v>
      </c>
      <c r="AA30" s="57">
        <f t="shared" si="156"/>
        <v>256</v>
      </c>
      <c r="AB30" s="57">
        <f t="shared" si="157"/>
        <v>256</v>
      </c>
      <c r="AC30" s="57">
        <f t="shared" si="158"/>
        <v>256</v>
      </c>
      <c r="AD30" s="65" t="s">
        <v>80</v>
      </c>
      <c r="AE30" s="57" t="str">
        <f t="shared" si="142"/>
        <v>/sp1/sp11/wasApp</v>
      </c>
      <c r="AF30" s="57" t="str">
        <f t="shared" si="159"/>
        <v>/log/jboss7/P-SP11-O/P-SP11-O-S11</v>
      </c>
      <c r="AG30" s="65" t="s">
        <v>86</v>
      </c>
      <c r="AH30" s="13" t="s">
        <v>87</v>
      </c>
      <c r="AI30" s="13">
        <v>9998</v>
      </c>
      <c r="AJ30" s="57"/>
    </row>
    <row r="31" spans="1:36" s="51" customFormat="1" ht="16.5" customHeight="1" x14ac:dyDescent="0.3">
      <c r="A31" s="8" t="s">
        <v>12</v>
      </c>
      <c r="B31" s="65" t="s">
        <v>287</v>
      </c>
      <c r="C31" s="8">
        <v>1</v>
      </c>
      <c r="D31" s="52" t="s">
        <v>429</v>
      </c>
      <c r="E31" s="52" t="str">
        <f t="shared" si="130"/>
        <v>pitcwb0a</v>
      </c>
      <c r="F31" s="52" t="str">
        <f t="shared" si="131"/>
        <v>pitcap0a</v>
      </c>
      <c r="G31" s="260" t="s">
        <v>191</v>
      </c>
      <c r="H31" s="33" t="str">
        <f>VLOOKUP(G31,'Domain별 코드 체계'!$B$5:$J$29,7,0)</f>
        <v>GE21</v>
      </c>
      <c r="I31" s="127" t="s">
        <v>338</v>
      </c>
      <c r="J31" s="10" t="str">
        <f t="shared" si="151"/>
        <v>P-GE21-O</v>
      </c>
      <c r="K31" s="131" t="s">
        <v>339</v>
      </c>
      <c r="L31" s="65">
        <v>1</v>
      </c>
      <c r="M31" s="57" t="str">
        <f t="shared" si="152"/>
        <v>P-GE21-O-F11</v>
      </c>
      <c r="N31" s="158" t="str">
        <f>IF(K31="S",9,"8")&amp;VLOOKUP(H31,'WAS Domain'!$E$11:$I$26,3,0)&amp;VLOOKUP(H31,'WAS Domain'!$E$11:$I$26,4,0)&amp;IF(RIGHT(H31,1)="1",L31,RIGHT(H31,1))</f>
        <v>8241</v>
      </c>
      <c r="O31" s="158">
        <f t="shared" si="12"/>
        <v>8684</v>
      </c>
      <c r="P31" s="158" t="str">
        <f>VLOOKUP(H31,'WAS Domain'!$E$11:$I$26,2,0)&amp;VLOOKUP(H31,'WAS Domain'!$E$11:$I$26,3,0)&amp;VLOOKUP(H31,'WAS Domain'!$E$11:$I$26,4,0)&amp;VLOOKUP(H31,'WAS Domain'!$E$11:$I$26,5,0)&amp;IF(K31="A",0,IF(K31="F",L31,IF(LEFT(H31,3)="FWM",L31,9)))</f>
        <v>12411</v>
      </c>
      <c r="Q31" s="190">
        <f t="shared" si="121"/>
        <v>12340</v>
      </c>
      <c r="R31" s="190">
        <f t="shared" si="122"/>
        <v>14321</v>
      </c>
      <c r="S31" s="190">
        <f t="shared" si="15"/>
        <v>14330</v>
      </c>
      <c r="T31" s="190">
        <f t="shared" si="123"/>
        <v>4331</v>
      </c>
      <c r="U31" s="190">
        <f t="shared" si="134"/>
        <v>10330</v>
      </c>
      <c r="V31" s="190">
        <f t="shared" si="135"/>
        <v>11931</v>
      </c>
      <c r="W31" s="57" t="s">
        <v>300</v>
      </c>
      <c r="X31" s="57" t="str">
        <f t="shared" si="153"/>
        <v>P-GE21-O-A11</v>
      </c>
      <c r="Y31" s="57">
        <f t="shared" si="154"/>
        <v>2048</v>
      </c>
      <c r="Z31" s="57">
        <f t="shared" si="155"/>
        <v>768</v>
      </c>
      <c r="AA31" s="57">
        <f t="shared" si="156"/>
        <v>768</v>
      </c>
      <c r="AB31" s="57">
        <f t="shared" si="157"/>
        <v>512</v>
      </c>
      <c r="AC31" s="57">
        <f t="shared" si="158"/>
        <v>512</v>
      </c>
      <c r="AD31" s="65" t="s">
        <v>80</v>
      </c>
      <c r="AE31" s="57" t="str">
        <f t="shared" si="142"/>
        <v>/ge2/ge21/wasApp</v>
      </c>
      <c r="AF31" s="57" t="str">
        <f t="shared" si="159"/>
        <v>/log/jboss7/P-GE21-O/P-GE21-O-F11</v>
      </c>
      <c r="AG31" s="65" t="s">
        <v>86</v>
      </c>
      <c r="AH31" s="13" t="s">
        <v>87</v>
      </c>
      <c r="AI31" s="13">
        <v>9998</v>
      </c>
      <c r="AJ31" s="57"/>
    </row>
    <row r="32" spans="1:36" s="51" customFormat="1" ht="16.5" customHeight="1" x14ac:dyDescent="0.3">
      <c r="A32" s="8" t="s">
        <v>12</v>
      </c>
      <c r="B32" s="65" t="s">
        <v>287</v>
      </c>
      <c r="C32" s="8">
        <v>1</v>
      </c>
      <c r="D32" s="52" t="s">
        <v>431</v>
      </c>
      <c r="E32" s="52" t="str">
        <f t="shared" si="130"/>
        <v>pitcwb0a</v>
      </c>
      <c r="F32" s="52" t="str">
        <f t="shared" si="131"/>
        <v>pitcap0a</v>
      </c>
      <c r="G32" s="260" t="s">
        <v>191</v>
      </c>
      <c r="H32" s="33" t="str">
        <f>VLOOKUP(G32,'Domain별 코드 체계'!$B$5:$J$29,7,0)</f>
        <v>GE21</v>
      </c>
      <c r="I32" s="127" t="s">
        <v>338</v>
      </c>
      <c r="J32" s="10" t="str">
        <f t="shared" si="151"/>
        <v>P-GE21-O</v>
      </c>
      <c r="K32" s="131" t="s">
        <v>339</v>
      </c>
      <c r="L32" s="65">
        <v>2</v>
      </c>
      <c r="M32" s="57" t="str">
        <f t="shared" si="152"/>
        <v>P-GE21-O-F12</v>
      </c>
      <c r="N32" s="158" t="str">
        <f>IF(K32="S",9,"8")&amp;VLOOKUP(H32,'WAS Domain'!$E$11:$I$26,3,0)&amp;VLOOKUP(H32,'WAS Domain'!$E$11:$I$26,4,0)&amp;IF(RIGHT(H32,1)="1",L32,RIGHT(H32,1))</f>
        <v>8242</v>
      </c>
      <c r="O32" s="158">
        <f t="shared" si="12"/>
        <v>8685</v>
      </c>
      <c r="P32" s="158" t="str">
        <f>VLOOKUP(H32,'WAS Domain'!$E$11:$I$26,2,0)&amp;VLOOKUP(H32,'WAS Domain'!$E$11:$I$26,3,0)&amp;VLOOKUP(H32,'WAS Domain'!$E$11:$I$26,4,0)&amp;VLOOKUP(H32,'WAS Domain'!$E$11:$I$26,5,0)&amp;IF(K32="A",0,IF(K32="F",L32,IF(LEFT(H32,3)="FWM",L32,9)))</f>
        <v>12412</v>
      </c>
      <c r="Q32" s="190">
        <f t="shared" si="121"/>
        <v>12341</v>
      </c>
      <c r="R32" s="190">
        <f t="shared" si="122"/>
        <v>14322</v>
      </c>
      <c r="S32" s="190">
        <f t="shared" si="15"/>
        <v>14331</v>
      </c>
      <c r="T32" s="190">
        <f t="shared" si="123"/>
        <v>4332</v>
      </c>
      <c r="U32" s="190">
        <f t="shared" si="134"/>
        <v>10331</v>
      </c>
      <c r="V32" s="190">
        <f t="shared" si="135"/>
        <v>11932</v>
      </c>
      <c r="W32" s="57" t="s">
        <v>301</v>
      </c>
      <c r="X32" s="57" t="str">
        <f t="shared" si="153"/>
        <v>P-GE21-O-A11</v>
      </c>
      <c r="Y32" s="57">
        <f t="shared" si="154"/>
        <v>2048</v>
      </c>
      <c r="Z32" s="57">
        <f t="shared" si="155"/>
        <v>768</v>
      </c>
      <c r="AA32" s="57">
        <f t="shared" si="156"/>
        <v>768</v>
      </c>
      <c r="AB32" s="57">
        <f t="shared" si="157"/>
        <v>512</v>
      </c>
      <c r="AC32" s="57">
        <f t="shared" si="158"/>
        <v>512</v>
      </c>
      <c r="AD32" s="65" t="s">
        <v>80</v>
      </c>
      <c r="AE32" s="57" t="str">
        <f t="shared" si="142"/>
        <v>/ge2/ge21/wasApp</v>
      </c>
      <c r="AF32" s="57" t="str">
        <f t="shared" si="159"/>
        <v>/log/jboss7/P-GE21-O/P-GE21-O-F12</v>
      </c>
      <c r="AG32" s="65" t="s">
        <v>86</v>
      </c>
      <c r="AH32" s="13" t="s">
        <v>87</v>
      </c>
      <c r="AI32" s="13">
        <v>9998</v>
      </c>
      <c r="AJ32" s="57"/>
    </row>
    <row r="33" spans="1:36" s="51" customFormat="1" ht="16.5" customHeight="1" x14ac:dyDescent="0.3">
      <c r="A33" s="8" t="s">
        <v>12</v>
      </c>
      <c r="B33" s="65" t="s">
        <v>287</v>
      </c>
      <c r="C33" s="8">
        <v>1</v>
      </c>
      <c r="D33" s="52" t="s">
        <v>428</v>
      </c>
      <c r="E33" s="52" t="str">
        <f t="shared" si="130"/>
        <v>pitcwb0a</v>
      </c>
      <c r="F33" s="52" t="str">
        <f t="shared" si="131"/>
        <v>pitcap0a</v>
      </c>
      <c r="G33" s="260" t="s">
        <v>191</v>
      </c>
      <c r="H33" s="33" t="str">
        <f>VLOOKUP(G33,'Domain별 코드 체계'!$B$5:$J$29,7,0)</f>
        <v>GE21</v>
      </c>
      <c r="I33" s="127" t="s">
        <v>375</v>
      </c>
      <c r="J33" s="10" t="str">
        <f t="shared" si="151"/>
        <v>P-GE21-O</v>
      </c>
      <c r="K33" s="131" t="s">
        <v>377</v>
      </c>
      <c r="L33" s="65">
        <v>1</v>
      </c>
      <c r="M33" s="57" t="str">
        <f t="shared" si="152"/>
        <v>P-GE21-O-S11</v>
      </c>
      <c r="N33" s="158" t="str">
        <f>IF(K33="S",9,"8")&amp;VLOOKUP(H33,'WAS Domain'!$E$11:$I$26,3,0)&amp;VLOOKUP(H33,'WAS Domain'!$E$11:$I$26,4,0)&amp;IF(RIGHT(H33,1)="1",L33,RIGHT(H33,1))</f>
        <v>9241</v>
      </c>
      <c r="O33" s="158">
        <f t="shared" si="12"/>
        <v>9684</v>
      </c>
      <c r="P33" s="158" t="str">
        <f>VLOOKUP(H33,'WAS Domain'!$E$11:$I$26,2,0)&amp;VLOOKUP(H33,'WAS Domain'!$E$11:$I$26,3,0)&amp;VLOOKUP(H33,'WAS Domain'!$E$11:$I$26,4,0)&amp;VLOOKUP(H33,'WAS Domain'!$E$11:$I$26,5,0)&amp;IF(K33="A",0,IF(K33="F",L33,IF(LEFT(H33,3)="FWM",L33,9)))</f>
        <v>12419</v>
      </c>
      <c r="Q33" s="190">
        <f t="shared" si="121"/>
        <v>12348</v>
      </c>
      <c r="R33" s="190">
        <f t="shared" si="122"/>
        <v>14329</v>
      </c>
      <c r="S33" s="190">
        <f t="shared" si="15"/>
        <v>14338</v>
      </c>
      <c r="T33" s="190">
        <f t="shared" si="123"/>
        <v>4339</v>
      </c>
      <c r="U33" s="190">
        <f t="shared" si="134"/>
        <v>10338</v>
      </c>
      <c r="V33" s="190">
        <f t="shared" si="135"/>
        <v>11939</v>
      </c>
      <c r="W33" s="57" t="s">
        <v>337</v>
      </c>
      <c r="X33" s="57" t="str">
        <f t="shared" si="153"/>
        <v>P-GE21-O-A11</v>
      </c>
      <c r="Y33" s="57">
        <f t="shared" si="154"/>
        <v>1024</v>
      </c>
      <c r="Z33" s="57">
        <f t="shared" si="155"/>
        <v>256</v>
      </c>
      <c r="AA33" s="57">
        <f t="shared" si="156"/>
        <v>256</v>
      </c>
      <c r="AB33" s="57">
        <f t="shared" si="157"/>
        <v>256</v>
      </c>
      <c r="AC33" s="57">
        <f t="shared" si="158"/>
        <v>256</v>
      </c>
      <c r="AD33" s="65" t="s">
        <v>80</v>
      </c>
      <c r="AE33" s="57" t="str">
        <f t="shared" si="142"/>
        <v>/ge2/ge21/wasApp</v>
      </c>
      <c r="AF33" s="57" t="str">
        <f t="shared" si="159"/>
        <v>/log/jboss7/P-GE21-O/P-GE21-O-S11</v>
      </c>
      <c r="AG33" s="65" t="s">
        <v>86</v>
      </c>
      <c r="AH33" s="13" t="s">
        <v>87</v>
      </c>
      <c r="AI33" s="13">
        <v>9998</v>
      </c>
      <c r="AJ33" s="57"/>
    </row>
    <row r="34" spans="1:36" s="51" customFormat="1" ht="16.5" customHeight="1" x14ac:dyDescent="0.3">
      <c r="A34" s="8" t="s">
        <v>12</v>
      </c>
      <c r="B34" s="65" t="s">
        <v>229</v>
      </c>
      <c r="C34" s="8">
        <v>1</v>
      </c>
      <c r="D34" s="52" t="s">
        <v>429</v>
      </c>
      <c r="E34" s="52" t="str">
        <f t="shared" si="130"/>
        <v>pitcwb0a</v>
      </c>
      <c r="F34" s="52" t="str">
        <f t="shared" si="131"/>
        <v>pitcap0a</v>
      </c>
      <c r="G34" s="9" t="s">
        <v>192</v>
      </c>
      <c r="H34" s="33" t="str">
        <f>VLOOKUP(G34,'Domain별 코드 체계'!$B$5:$J$29,7,0)</f>
        <v>MS71</v>
      </c>
      <c r="I34" s="126" t="s">
        <v>5</v>
      </c>
      <c r="J34" s="10" t="str">
        <f t="shared" si="151"/>
        <v>P-MS71-O</v>
      </c>
      <c r="K34" s="131" t="s">
        <v>88</v>
      </c>
      <c r="L34" s="65">
        <v>1</v>
      </c>
      <c r="M34" s="57" t="str">
        <f t="shared" si="152"/>
        <v>P-MS71-O-F11</v>
      </c>
      <c r="N34" s="59" t="str">
        <f>IF(K34="S",9,"8")&amp;VLOOKUP(H34,'WAS Domain'!$E$11:$I$26,3,0)&amp;VLOOKUP(H34,'WAS Domain'!$E$11:$I$26,4,0)&amp;IF(RIGHT(H34,1)="1",L34,RIGHT(H34,1))</f>
        <v>8251</v>
      </c>
      <c r="O34" s="59">
        <f t="shared" si="12"/>
        <v>8694</v>
      </c>
      <c r="P34" s="59" t="str">
        <f>VLOOKUP(H34,'WAS Domain'!$E$11:$I$26,2,0)&amp;VLOOKUP(H34,'WAS Domain'!$E$11:$I$26,3,0)&amp;VLOOKUP(H34,'WAS Domain'!$E$11:$I$26,4,0)&amp;VLOOKUP(H34,'WAS Domain'!$E$11:$I$26,5,0)&amp;IF(K34="A",0,IF(K34="F",L34,IF(LEFT(H34,3)="FWM",L34,9)))</f>
        <v>12511</v>
      </c>
      <c r="Q34" s="58">
        <f t="shared" si="121"/>
        <v>12440</v>
      </c>
      <c r="R34" s="58">
        <f t="shared" si="122"/>
        <v>14421</v>
      </c>
      <c r="S34" s="58">
        <f t="shared" si="15"/>
        <v>14430</v>
      </c>
      <c r="T34" s="58">
        <f t="shared" si="123"/>
        <v>4431</v>
      </c>
      <c r="U34" s="58">
        <f t="shared" si="134"/>
        <v>10430</v>
      </c>
      <c r="V34" s="58">
        <f t="shared" si="135"/>
        <v>12031</v>
      </c>
      <c r="W34" s="57" t="s">
        <v>302</v>
      </c>
      <c r="X34" s="57" t="str">
        <f t="shared" si="153"/>
        <v>P-MS71-O-A11</v>
      </c>
      <c r="Y34" s="57">
        <f t="shared" si="154"/>
        <v>2048</v>
      </c>
      <c r="Z34" s="57">
        <f t="shared" si="155"/>
        <v>768</v>
      </c>
      <c r="AA34" s="57">
        <f t="shared" si="156"/>
        <v>768</v>
      </c>
      <c r="AB34" s="57">
        <f t="shared" si="157"/>
        <v>512</v>
      </c>
      <c r="AC34" s="57">
        <f t="shared" si="158"/>
        <v>512</v>
      </c>
      <c r="AD34" s="65" t="s">
        <v>80</v>
      </c>
      <c r="AE34" s="57" t="str">
        <f t="shared" si="142"/>
        <v>/ms7/ms71/wasApp</v>
      </c>
      <c r="AF34" s="57" t="str">
        <f t="shared" si="159"/>
        <v>/log/jboss7/P-MS71-O/P-MS71-O-F11</v>
      </c>
      <c r="AG34" s="65" t="s">
        <v>86</v>
      </c>
      <c r="AH34" s="13" t="s">
        <v>87</v>
      </c>
      <c r="AI34" s="13">
        <v>9998</v>
      </c>
      <c r="AJ34" s="57"/>
    </row>
    <row r="35" spans="1:36" s="51" customFormat="1" ht="16.5" customHeight="1" x14ac:dyDescent="0.3">
      <c r="A35" s="8" t="s">
        <v>12</v>
      </c>
      <c r="B35" s="65" t="s">
        <v>229</v>
      </c>
      <c r="C35" s="8">
        <v>1</v>
      </c>
      <c r="D35" s="52" t="s">
        <v>431</v>
      </c>
      <c r="E35" s="52" t="str">
        <f t="shared" si="130"/>
        <v>pitcwb0a</v>
      </c>
      <c r="F35" s="52" t="str">
        <f t="shared" si="131"/>
        <v>pitcap0a</v>
      </c>
      <c r="G35" s="9" t="s">
        <v>192</v>
      </c>
      <c r="H35" s="33" t="str">
        <f>VLOOKUP(G35,'Domain별 코드 체계'!$B$5:$J$29,7,0)</f>
        <v>MS71</v>
      </c>
      <c r="I35" s="126" t="s">
        <v>5</v>
      </c>
      <c r="J35" s="10" t="str">
        <f t="shared" si="151"/>
        <v>P-MS71-O</v>
      </c>
      <c r="K35" s="131" t="s">
        <v>88</v>
      </c>
      <c r="L35" s="65">
        <v>2</v>
      </c>
      <c r="M35" s="57" t="str">
        <f t="shared" si="152"/>
        <v>P-MS71-O-F12</v>
      </c>
      <c r="N35" s="158" t="str">
        <f>IF(K35="S",9,"8")&amp;VLOOKUP(H35,'WAS Domain'!$E$11:$I$26,3,0)&amp;VLOOKUP(H35,'WAS Domain'!$E$11:$I$26,4,0)&amp;IF(RIGHT(H35,1)="1",L35,RIGHT(H35,1))</f>
        <v>8252</v>
      </c>
      <c r="O35" s="158">
        <f t="shared" si="12"/>
        <v>8695</v>
      </c>
      <c r="P35" s="158" t="str">
        <f>VLOOKUP(H35,'WAS Domain'!$E$11:$I$26,2,0)&amp;VLOOKUP(H35,'WAS Domain'!$E$11:$I$26,3,0)&amp;VLOOKUP(H35,'WAS Domain'!$E$11:$I$26,4,0)&amp;VLOOKUP(H35,'WAS Domain'!$E$11:$I$26,5,0)&amp;IF(K35="A",0,IF(K35="F",L35,IF(LEFT(H35,3)="FWM",L35,9)))</f>
        <v>12512</v>
      </c>
      <c r="Q35" s="190">
        <f t="shared" si="121"/>
        <v>12441</v>
      </c>
      <c r="R35" s="190">
        <f t="shared" si="122"/>
        <v>14422</v>
      </c>
      <c r="S35" s="190">
        <f t="shared" si="15"/>
        <v>14431</v>
      </c>
      <c r="T35" s="190">
        <f t="shared" si="123"/>
        <v>4432</v>
      </c>
      <c r="U35" s="190">
        <f t="shared" si="134"/>
        <v>10431</v>
      </c>
      <c r="V35" s="190">
        <f t="shared" si="135"/>
        <v>12032</v>
      </c>
      <c r="W35" s="57" t="s">
        <v>303</v>
      </c>
      <c r="X35" s="57" t="str">
        <f t="shared" si="153"/>
        <v>P-MS71-O-A11</v>
      </c>
      <c r="Y35" s="57">
        <f t="shared" si="154"/>
        <v>2048</v>
      </c>
      <c r="Z35" s="57">
        <f t="shared" si="155"/>
        <v>768</v>
      </c>
      <c r="AA35" s="57">
        <f t="shared" si="156"/>
        <v>768</v>
      </c>
      <c r="AB35" s="57">
        <f t="shared" si="157"/>
        <v>512</v>
      </c>
      <c r="AC35" s="57">
        <f t="shared" si="158"/>
        <v>512</v>
      </c>
      <c r="AD35" s="65" t="s">
        <v>80</v>
      </c>
      <c r="AE35" s="57" t="str">
        <f t="shared" si="142"/>
        <v>/ms7/ms71/wasApp</v>
      </c>
      <c r="AF35" s="57" t="str">
        <f t="shared" si="159"/>
        <v>/log/jboss7/P-MS71-O/P-MS71-O-F12</v>
      </c>
      <c r="AG35" s="65" t="s">
        <v>86</v>
      </c>
      <c r="AH35" s="13" t="s">
        <v>87</v>
      </c>
      <c r="AI35" s="13">
        <v>9998</v>
      </c>
      <c r="AJ35" s="57"/>
    </row>
    <row r="36" spans="1:36" s="51" customFormat="1" ht="16.5" customHeight="1" x14ac:dyDescent="0.3">
      <c r="A36" s="8" t="s">
        <v>12</v>
      </c>
      <c r="B36" s="65" t="s">
        <v>225</v>
      </c>
      <c r="C36" s="8">
        <v>1</v>
      </c>
      <c r="D36" s="76" t="s">
        <v>433</v>
      </c>
      <c r="E36" s="52" t="str">
        <f>CONCATENATE(A36,"smw","wb0",C36)</f>
        <v>psmwwb01</v>
      </c>
      <c r="F36" s="52" t="str">
        <f t="shared" si="131"/>
        <v>pitcap0a</v>
      </c>
      <c r="G36" s="9" t="s">
        <v>212</v>
      </c>
      <c r="H36" s="33" t="str">
        <f>VLOOKUP(G36,'Domain별 코드 체계'!$B$5:$J$29,7,0)</f>
        <v>BIM1</v>
      </c>
      <c r="I36" s="127" t="s">
        <v>375</v>
      </c>
      <c r="J36" s="10" t="str">
        <f>CONCATENATE(UPPER(IF(A36="d","P",A36)),"-",H36,"-",I36)</f>
        <v>P-BIM1-O</v>
      </c>
      <c r="K36" s="131" t="s">
        <v>378</v>
      </c>
      <c r="L36" s="65">
        <v>1</v>
      </c>
      <c r="M36" s="57" t="str">
        <f>CONCATENATE(J36,"-",K36,C36,L36)</f>
        <v>P-BIM1-O-F11</v>
      </c>
      <c r="N36" s="59" t="str">
        <f>IF(K36="S",9,"8")&amp;VLOOKUP(H36,'WAS Domain'!$E$11:$I$26,3,0)&amp;VLOOKUP(H36,'WAS Domain'!$E$11:$I$26,4,0)&amp;IF(RIGHT(H36,1)="1",L36,RIGHT(H36,1))</f>
        <v>8411</v>
      </c>
      <c r="O36" s="59">
        <f>N36+443</f>
        <v>8854</v>
      </c>
      <c r="P36" s="59" t="str">
        <f>VLOOKUP(H36,'WAS Domain'!$E$11:$I$26,2,0)&amp;VLOOKUP(H36,'WAS Domain'!$E$11:$I$26,3,0)&amp;VLOOKUP(H36,'WAS Domain'!$E$11:$I$26,4,0)&amp;VLOOKUP(H36,'WAS Domain'!$E$11:$I$26,5,0)&amp;IF(K36="A",0,IF(K36="F",L36,IF(LEFT(H36,3)="FWM",L36,9)))</f>
        <v>14111</v>
      </c>
      <c r="Q36" s="59">
        <f>T36+8009</f>
        <v>13030</v>
      </c>
      <c r="R36" s="59">
        <f>T36+9990</f>
        <v>15011</v>
      </c>
      <c r="S36" s="59">
        <f>T36+9999</f>
        <v>15020</v>
      </c>
      <c r="T36" s="59">
        <f>P36-9090</f>
        <v>5021</v>
      </c>
      <c r="U36" s="58">
        <f t="shared" si="134"/>
        <v>11020</v>
      </c>
      <c r="V36" s="58">
        <f t="shared" si="135"/>
        <v>12621</v>
      </c>
      <c r="W36" s="57" t="s">
        <v>298</v>
      </c>
      <c r="X36" s="57" t="str">
        <f>IF(K36="A","",CONCATENATE(J36,"-A11"))</f>
        <v>P-BIM1-O-A11</v>
      </c>
      <c r="Y36" s="57">
        <f>IF(K36="A",512,IF(K36="F",2048,IF(K36="S",1024)))</f>
        <v>2048</v>
      </c>
      <c r="Z36" s="57">
        <f>IF(K36="A","",IF(K36="F",(Y36/16)*6,IF(K36="S",Y36/4)))</f>
        <v>768</v>
      </c>
      <c r="AA36" s="57">
        <f>Z36</f>
        <v>768</v>
      </c>
      <c r="AB36" s="57">
        <f>IF(K36="A","",IF(K36="F",(Y36/16)*4,IF(K36="S",Y36/4)))</f>
        <v>512</v>
      </c>
      <c r="AC36" s="57">
        <f>AB36</f>
        <v>512</v>
      </c>
      <c r="AD36" s="65" t="s">
        <v>80</v>
      </c>
      <c r="AE36" s="57" t="str">
        <f t="shared" si="142"/>
        <v>/bim/bim1/wasApp</v>
      </c>
      <c r="AF36" s="57" t="str">
        <f>CONCATENATE("/log/jboss7/",J36,"/",M36)</f>
        <v>/log/jboss7/P-BIM1-O/P-BIM1-O-F11</v>
      </c>
      <c r="AG36" s="65" t="s">
        <v>86</v>
      </c>
      <c r="AH36" s="13" t="s">
        <v>87</v>
      </c>
      <c r="AI36" s="13">
        <v>9998</v>
      </c>
      <c r="AJ36" s="57"/>
    </row>
    <row r="37" spans="1:36" s="51" customFormat="1" ht="16.5" customHeight="1" x14ac:dyDescent="0.3">
      <c r="A37" s="8" t="s">
        <v>12</v>
      </c>
      <c r="B37" s="65" t="s">
        <v>225</v>
      </c>
      <c r="C37" s="8">
        <v>1</v>
      </c>
      <c r="D37" s="76" t="s">
        <v>432</v>
      </c>
      <c r="E37" s="52" t="str">
        <f t="shared" ref="E37:E40" si="160">CONCATENATE(A37,"smw","wb0",C37)</f>
        <v>psmwwb01</v>
      </c>
      <c r="F37" s="52" t="str">
        <f t="shared" si="131"/>
        <v>pitcap0a</v>
      </c>
      <c r="G37" s="9" t="s">
        <v>212</v>
      </c>
      <c r="H37" s="33" t="str">
        <f>VLOOKUP(G37,'Domain별 코드 체계'!$B$5:$J$29,7,0)</f>
        <v>BIM1</v>
      </c>
      <c r="I37" s="127" t="s">
        <v>375</v>
      </c>
      <c r="J37" s="10" t="str">
        <f>CONCATENATE(UPPER(IF(A37="d","P",A37)),"-",H37,"-",I37)</f>
        <v>P-BIM1-O</v>
      </c>
      <c r="K37" s="131" t="s">
        <v>378</v>
      </c>
      <c r="L37" s="65">
        <v>2</v>
      </c>
      <c r="M37" s="57" t="str">
        <f>CONCATENATE(J37,"-",K37,C37,L37)</f>
        <v>P-BIM1-O-F12</v>
      </c>
      <c r="N37" s="158" t="str">
        <f>IF(K37="S",9,"8")&amp;VLOOKUP(H37,'WAS Domain'!$E$11:$I$26,3,0)&amp;VLOOKUP(H37,'WAS Domain'!$E$11:$I$26,4,0)&amp;IF(RIGHT(H37,1)="1",L37,RIGHT(H37,1))</f>
        <v>8412</v>
      </c>
      <c r="O37" s="158">
        <f>N37+443</f>
        <v>8855</v>
      </c>
      <c r="P37" s="158" t="str">
        <f>VLOOKUP(H37,'WAS Domain'!$E$11:$I$26,2,0)&amp;VLOOKUP(H37,'WAS Domain'!$E$11:$I$26,3,0)&amp;VLOOKUP(H37,'WAS Domain'!$E$11:$I$26,4,0)&amp;VLOOKUP(H37,'WAS Domain'!$E$11:$I$26,5,0)&amp;IF(K37="A",0,IF(K37="F",L37,IF(LEFT(H37,3)="FWM",L37,9)))</f>
        <v>14112</v>
      </c>
      <c r="Q37" s="158">
        <f>T37+8009</f>
        <v>13031</v>
      </c>
      <c r="R37" s="158">
        <f>T37+9990</f>
        <v>15012</v>
      </c>
      <c r="S37" s="158">
        <f>T37+9999</f>
        <v>15021</v>
      </c>
      <c r="T37" s="158">
        <f t="shared" ref="T37:T40" si="161">P37-9090</f>
        <v>5022</v>
      </c>
      <c r="U37" s="190">
        <f t="shared" si="134"/>
        <v>11021</v>
      </c>
      <c r="V37" s="190">
        <f t="shared" si="135"/>
        <v>12622</v>
      </c>
      <c r="W37" s="57" t="s">
        <v>299</v>
      </c>
      <c r="X37" s="57" t="str">
        <f>IF(K37="A","",CONCATENATE(J37,"-A11"))</f>
        <v>P-BIM1-O-A11</v>
      </c>
      <c r="Y37" s="57">
        <f>IF(K37="A",512,IF(K37="F",2048,IF(K37="S",1024)))</f>
        <v>2048</v>
      </c>
      <c r="Z37" s="57">
        <f>IF(K37="A","",IF(K37="F",(Y37/16)*6,IF(K37="S",Y37/4)))</f>
        <v>768</v>
      </c>
      <c r="AA37" s="57">
        <f>Z37</f>
        <v>768</v>
      </c>
      <c r="AB37" s="57">
        <f>IF(K37="A","",IF(K37="F",(Y37/16)*4,IF(K37="S",Y37/4)))</f>
        <v>512</v>
      </c>
      <c r="AC37" s="57">
        <f>AB37</f>
        <v>512</v>
      </c>
      <c r="AD37" s="65" t="s">
        <v>80</v>
      </c>
      <c r="AE37" s="57" t="str">
        <f t="shared" si="142"/>
        <v>/bim/bim1/wasApp</v>
      </c>
      <c r="AF37" s="57" t="str">
        <f>CONCATENATE("/log/jboss7/",J37,"/",M37)</f>
        <v>/log/jboss7/P-BIM1-O/P-BIM1-O-F12</v>
      </c>
      <c r="AG37" s="65" t="s">
        <v>86</v>
      </c>
      <c r="AH37" s="13" t="s">
        <v>87</v>
      </c>
      <c r="AI37" s="13">
        <v>9998</v>
      </c>
      <c r="AJ37" s="57"/>
    </row>
    <row r="38" spans="1:36" s="51" customFormat="1" ht="16.5" customHeight="1" x14ac:dyDescent="0.3">
      <c r="A38" s="8" t="s">
        <v>12</v>
      </c>
      <c r="B38" s="65" t="s">
        <v>231</v>
      </c>
      <c r="C38" s="8">
        <v>1</v>
      </c>
      <c r="D38" s="76" t="s">
        <v>433</v>
      </c>
      <c r="E38" s="52" t="str">
        <f t="shared" si="160"/>
        <v>psmwwb01</v>
      </c>
      <c r="F38" s="52" t="str">
        <f t="shared" si="131"/>
        <v>pitcap0a</v>
      </c>
      <c r="G38" s="9" t="s">
        <v>304</v>
      </c>
      <c r="H38" s="33" t="str">
        <f>VLOOKUP(G38,'Domain별 코드 체계'!$B$5:$J$29,7,0)</f>
        <v>WO11</v>
      </c>
      <c r="I38" s="127" t="s">
        <v>375</v>
      </c>
      <c r="J38" s="10" t="str">
        <f t="shared" si="151"/>
        <v>P-WO11-O</v>
      </c>
      <c r="K38" s="131" t="s">
        <v>379</v>
      </c>
      <c r="L38" s="65">
        <v>1</v>
      </c>
      <c r="M38" s="57" t="str">
        <f t="shared" si="152"/>
        <v>P-WO11-O-F11</v>
      </c>
      <c r="N38" s="59" t="str">
        <f>IF(K38="S",9,"8")&amp;VLOOKUP(H38,'WAS Domain'!$E$11:$I$26,3,0)&amp;VLOOKUP(H38,'WAS Domain'!$E$11:$I$26,4,0)&amp;IF(RIGHT(H38,1)="1",L38,RIGHT(H38,1))</f>
        <v>8421</v>
      </c>
      <c r="O38" s="59">
        <f t="shared" si="12"/>
        <v>8864</v>
      </c>
      <c r="P38" s="59" t="str">
        <f>VLOOKUP(H38,'WAS Domain'!$E$11:$I$26,2,0)&amp;VLOOKUP(H38,'WAS Domain'!$E$11:$I$26,3,0)&amp;VLOOKUP(H38,'WAS Domain'!$E$11:$I$26,4,0)&amp;VLOOKUP(H38,'WAS Domain'!$E$11:$I$26,5,0)&amp;IF(K38="A",0,IF(K38="F",L38,IF(LEFT(H38,3)="FWM",L38,9)))</f>
        <v>14211</v>
      </c>
      <c r="Q38" s="59">
        <f t="shared" si="121"/>
        <v>13130</v>
      </c>
      <c r="R38" s="59">
        <f t="shared" si="122"/>
        <v>15111</v>
      </c>
      <c r="S38" s="59">
        <f t="shared" si="15"/>
        <v>15120</v>
      </c>
      <c r="T38" s="59">
        <f t="shared" si="161"/>
        <v>5121</v>
      </c>
      <c r="U38" s="58">
        <f t="shared" si="134"/>
        <v>11120</v>
      </c>
      <c r="V38" s="58">
        <f t="shared" si="135"/>
        <v>12721</v>
      </c>
      <c r="W38" s="57" t="s">
        <v>305</v>
      </c>
      <c r="X38" s="57" t="str">
        <f t="shared" si="153"/>
        <v>P-WO11-O-A11</v>
      </c>
      <c r="Y38" s="57">
        <f t="shared" si="154"/>
        <v>2048</v>
      </c>
      <c r="Z38" s="57">
        <f t="shared" si="155"/>
        <v>768</v>
      </c>
      <c r="AA38" s="57">
        <f t="shared" si="156"/>
        <v>768</v>
      </c>
      <c r="AB38" s="57">
        <f t="shared" si="157"/>
        <v>512</v>
      </c>
      <c r="AC38" s="57">
        <f t="shared" si="158"/>
        <v>512</v>
      </c>
      <c r="AD38" s="65" t="s">
        <v>80</v>
      </c>
      <c r="AE38" s="57" t="str">
        <f t="shared" si="142"/>
        <v>/wo1/wo11/wasApp</v>
      </c>
      <c r="AF38" s="57" t="str">
        <f t="shared" si="159"/>
        <v>/log/jboss7/P-WO11-O/P-WO11-O-F11</v>
      </c>
      <c r="AG38" s="65" t="s">
        <v>86</v>
      </c>
      <c r="AH38" s="13" t="s">
        <v>87</v>
      </c>
      <c r="AI38" s="13">
        <v>9998</v>
      </c>
      <c r="AJ38" s="57"/>
    </row>
    <row r="39" spans="1:36" s="51" customFormat="1" ht="16.5" customHeight="1" x14ac:dyDescent="0.3">
      <c r="A39" s="8" t="s">
        <v>12</v>
      </c>
      <c r="B39" s="65" t="s">
        <v>231</v>
      </c>
      <c r="C39" s="8">
        <v>1</v>
      </c>
      <c r="D39" s="76" t="s">
        <v>433</v>
      </c>
      <c r="E39" s="52" t="str">
        <f t="shared" si="160"/>
        <v>psmwwb01</v>
      </c>
      <c r="F39" s="52" t="str">
        <f t="shared" si="131"/>
        <v>pitcap0a</v>
      </c>
      <c r="G39" s="9" t="s">
        <v>290</v>
      </c>
      <c r="H39" s="33" t="str">
        <f>VLOOKUP(G39,'Domain별 코드 체계'!$B$5:$J$29,7,0)</f>
        <v>WO12</v>
      </c>
      <c r="I39" s="127" t="s">
        <v>375</v>
      </c>
      <c r="J39" s="10" t="str">
        <f t="shared" si="151"/>
        <v>P-WO12-O</v>
      </c>
      <c r="K39" s="131" t="s">
        <v>377</v>
      </c>
      <c r="L39" s="65">
        <v>1</v>
      </c>
      <c r="M39" s="57" t="str">
        <f t="shared" si="152"/>
        <v>P-WO12-O-S11</v>
      </c>
      <c r="N39" s="59" t="str">
        <f>IF(K39="S",9,"8")&amp;VLOOKUP(H39,'WAS Domain'!$E$11:$I$26,3,0)&amp;VLOOKUP(H39,'WAS Domain'!$E$11:$I$26,4,0)&amp;IF(RIGHT(H39,1)="1",L39,RIGHT(H39,1))</f>
        <v>9422</v>
      </c>
      <c r="O39" s="59">
        <f t="shared" si="12"/>
        <v>9865</v>
      </c>
      <c r="P39" s="59" t="str">
        <f>VLOOKUP(H39,'WAS Domain'!$E$11:$I$26,2,0)&amp;VLOOKUP(H39,'WAS Domain'!$E$11:$I$26,3,0)&amp;VLOOKUP(H39,'WAS Domain'!$E$11:$I$26,4,0)&amp;VLOOKUP(H39,'WAS Domain'!$E$11:$I$26,5,0)&amp;IF(K39="A",0,IF(K39="F",L39,IF(LEFT(H39,3)="FWM",L39,9)))</f>
        <v>14229</v>
      </c>
      <c r="Q39" s="59">
        <f t="shared" si="121"/>
        <v>13148</v>
      </c>
      <c r="R39" s="59">
        <f t="shared" si="122"/>
        <v>15129</v>
      </c>
      <c r="S39" s="59">
        <f t="shared" si="15"/>
        <v>15138</v>
      </c>
      <c r="T39" s="59">
        <f t="shared" si="161"/>
        <v>5139</v>
      </c>
      <c r="U39" s="58">
        <f t="shared" si="134"/>
        <v>11138</v>
      </c>
      <c r="V39" s="58">
        <f t="shared" si="135"/>
        <v>12739</v>
      </c>
      <c r="W39" s="57" t="s">
        <v>306</v>
      </c>
      <c r="X39" s="57" t="str">
        <f t="shared" si="153"/>
        <v>P-WO12-O-A11</v>
      </c>
      <c r="Y39" s="57">
        <f t="shared" si="154"/>
        <v>1024</v>
      </c>
      <c r="Z39" s="57">
        <f t="shared" si="155"/>
        <v>256</v>
      </c>
      <c r="AA39" s="57">
        <f t="shared" si="156"/>
        <v>256</v>
      </c>
      <c r="AB39" s="57">
        <f t="shared" si="157"/>
        <v>256</v>
      </c>
      <c r="AC39" s="57">
        <f t="shared" si="158"/>
        <v>256</v>
      </c>
      <c r="AD39" s="65" t="s">
        <v>80</v>
      </c>
      <c r="AE39" s="57" t="str">
        <f t="shared" si="142"/>
        <v>/wo1/wo12/wasApp</v>
      </c>
      <c r="AF39" s="57" t="str">
        <f t="shared" si="159"/>
        <v>/log/jboss7/P-WO12-O/P-WO12-O-S11</v>
      </c>
      <c r="AG39" s="65" t="s">
        <v>86</v>
      </c>
      <c r="AH39" s="13" t="s">
        <v>87</v>
      </c>
      <c r="AI39" s="13">
        <v>9998</v>
      </c>
      <c r="AJ39" s="57"/>
    </row>
    <row r="40" spans="1:36" s="51" customFormat="1" ht="16.5" customHeight="1" thickBot="1" x14ac:dyDescent="0.35">
      <c r="A40" s="75" t="s">
        <v>12</v>
      </c>
      <c r="B40" s="79" t="s">
        <v>231</v>
      </c>
      <c r="C40" s="75">
        <v>1</v>
      </c>
      <c r="D40" s="76" t="s">
        <v>434</v>
      </c>
      <c r="E40" s="52" t="str">
        <f t="shared" si="160"/>
        <v>psmwwb01</v>
      </c>
      <c r="F40" s="52" t="str">
        <f t="shared" si="131"/>
        <v>pitcap0a</v>
      </c>
      <c r="G40" s="73" t="s">
        <v>291</v>
      </c>
      <c r="H40" s="77" t="str">
        <f>VLOOKUP(G40,'Domain별 코드 체계'!$B$5:$J$29,7,0)</f>
        <v>WO13</v>
      </c>
      <c r="I40" s="127" t="s">
        <v>375</v>
      </c>
      <c r="J40" s="78" t="str">
        <f t="shared" si="151"/>
        <v>P-WO13-O</v>
      </c>
      <c r="K40" s="132" t="s">
        <v>377</v>
      </c>
      <c r="L40" s="79">
        <v>1</v>
      </c>
      <c r="M40" s="80" t="str">
        <f t="shared" si="152"/>
        <v>P-WO13-O-S11</v>
      </c>
      <c r="N40" s="118" t="str">
        <f>IF(K40="S",9,"8")&amp;VLOOKUP(H40,'WAS Domain'!$E$11:$I$26,3,0)&amp;VLOOKUP(H40,'WAS Domain'!$E$11:$I$26,4,0)&amp;IF(RIGHT(H40,1)="1",L40,RIGHT(H40,1))</f>
        <v>9423</v>
      </c>
      <c r="O40" s="118">
        <f t="shared" si="12"/>
        <v>9866</v>
      </c>
      <c r="P40" s="118" t="str">
        <f>VLOOKUP(H40,'WAS Domain'!$E$11:$I$26,2,0)&amp;VLOOKUP(H40,'WAS Domain'!$E$11:$I$26,3,0)&amp;VLOOKUP(H40,'WAS Domain'!$E$11:$I$26,4,0)&amp;VLOOKUP(H40,'WAS Domain'!$E$11:$I$26,5,0)&amp;IF(K40="A",0,IF(K40="F",L40,IF(LEFT(H40,3)="FWM",L40,9)))</f>
        <v>14239</v>
      </c>
      <c r="Q40" s="259">
        <f t="shared" si="121"/>
        <v>13158</v>
      </c>
      <c r="R40" s="259">
        <f t="shared" si="122"/>
        <v>15139</v>
      </c>
      <c r="S40" s="259">
        <f t="shared" si="15"/>
        <v>15148</v>
      </c>
      <c r="T40" s="59">
        <f t="shared" si="161"/>
        <v>5149</v>
      </c>
      <c r="U40" s="58">
        <f t="shared" si="134"/>
        <v>11148</v>
      </c>
      <c r="V40" s="58">
        <f t="shared" si="135"/>
        <v>12749</v>
      </c>
      <c r="W40" s="80" t="s">
        <v>307</v>
      </c>
      <c r="X40" s="80" t="str">
        <f t="shared" si="153"/>
        <v>P-WO13-O-A11</v>
      </c>
      <c r="Y40" s="80">
        <f t="shared" si="154"/>
        <v>1024</v>
      </c>
      <c r="Z40" s="80">
        <f t="shared" si="155"/>
        <v>256</v>
      </c>
      <c r="AA40" s="80">
        <f t="shared" si="156"/>
        <v>256</v>
      </c>
      <c r="AB40" s="80">
        <f t="shared" si="157"/>
        <v>256</v>
      </c>
      <c r="AC40" s="80">
        <f t="shared" si="158"/>
        <v>256</v>
      </c>
      <c r="AD40" s="79" t="s">
        <v>80</v>
      </c>
      <c r="AE40" s="109" t="str">
        <f>CONCATENATE("/",LOWER(B40),"/",LOWER(LEFT(H40,4)),"/wasApp")</f>
        <v>/wo1/wo13/wasApp</v>
      </c>
      <c r="AF40" s="80" t="str">
        <f t="shared" si="159"/>
        <v>/log/jboss7/P-WO13-O/P-WO13-O-S11</v>
      </c>
      <c r="AG40" s="79" t="s">
        <v>86</v>
      </c>
      <c r="AH40" s="82" t="s">
        <v>87</v>
      </c>
      <c r="AI40" s="82">
        <v>9998</v>
      </c>
      <c r="AJ40" s="80"/>
    </row>
    <row r="41" spans="1:36" s="51" customFormat="1" ht="16.5" customHeight="1" x14ac:dyDescent="0.3">
      <c r="A41" s="89" t="s">
        <v>12</v>
      </c>
      <c r="B41" s="95" t="s">
        <v>222</v>
      </c>
      <c r="C41" s="90">
        <v>2</v>
      </c>
      <c r="D41" s="91" t="s">
        <v>435</v>
      </c>
      <c r="E41" s="91" t="str">
        <f t="shared" ref="E41:E52" si="162">CONCATENATE(A41,"itc","wb0",IF(C41=1,"a","b"))</f>
        <v>pitcwb0b</v>
      </c>
      <c r="F41" s="91" t="str">
        <f t="shared" ref="F41:F57" si="163">CONCATENATE(A41,"itc","ap0",IF(C41=1,"a","b"))</f>
        <v>pitcap0b</v>
      </c>
      <c r="G41" s="92" t="s">
        <v>284</v>
      </c>
      <c r="H41" s="93" t="str">
        <f>VLOOKUP(G41,'Domain별 코드 체계'!$B$5:$J$29,7,0)</f>
        <v>BE11</v>
      </c>
      <c r="I41" s="128" t="s">
        <v>5</v>
      </c>
      <c r="J41" s="94" t="str">
        <f t="shared" si="151"/>
        <v>P-BE11-O</v>
      </c>
      <c r="K41" s="133" t="s">
        <v>472</v>
      </c>
      <c r="L41" s="95">
        <v>1</v>
      </c>
      <c r="M41" s="96" t="str">
        <f t="shared" si="152"/>
        <v>P-BE11-O-F21</v>
      </c>
      <c r="N41" s="151" t="str">
        <f>IF(K41="S",9,"8")&amp;VLOOKUP(H41,'WAS Domain'!$E$11:$I$26,3,0)&amp;VLOOKUP(H41,'WAS Domain'!$E$11:$I$26,4,0)&amp;IF(RIGHT(H41,1)="1",L41,RIGHT(H41,1))</f>
        <v>8231</v>
      </c>
      <c r="O41" s="151">
        <f t="shared" si="12"/>
        <v>8674</v>
      </c>
      <c r="P41" s="151" t="str">
        <f>VLOOKUP(H41,'WAS Domain'!$E$11:$I$26,2,0)&amp;VLOOKUP(H41,'WAS Domain'!$E$11:$I$26,3,0)&amp;VLOOKUP(H41,'WAS Domain'!$E$11:$I$26,4,0)&amp;VLOOKUP(H41,'WAS Domain'!$E$11:$I$26,5,0)&amp;IF(K41="A",0,IF(K41="F",L41,IF(LEFT(H41,3)="FWM",L41,9)))</f>
        <v>12311</v>
      </c>
      <c r="Q41" s="97">
        <f t="shared" ref="Q41:Q57" si="164">T41+8009</f>
        <v>12240</v>
      </c>
      <c r="R41" s="97">
        <f t="shared" ref="R41:R57" si="165">T41+9990</f>
        <v>14221</v>
      </c>
      <c r="S41" s="97">
        <f t="shared" si="15"/>
        <v>14230</v>
      </c>
      <c r="T41" s="97">
        <f t="shared" ref="T41:T52" si="166">P41-8080</f>
        <v>4231</v>
      </c>
      <c r="U41" s="95">
        <f t="shared" si="134"/>
        <v>10230</v>
      </c>
      <c r="V41" s="95">
        <f t="shared" si="135"/>
        <v>11831</v>
      </c>
      <c r="W41" s="96" t="s">
        <v>293</v>
      </c>
      <c r="X41" s="96" t="str">
        <f t="shared" si="153"/>
        <v>P-BE11-O-A11</v>
      </c>
      <c r="Y41" s="96">
        <f t="shared" si="154"/>
        <v>2048</v>
      </c>
      <c r="Z41" s="96">
        <f t="shared" si="155"/>
        <v>768</v>
      </c>
      <c r="AA41" s="96">
        <f t="shared" si="156"/>
        <v>768</v>
      </c>
      <c r="AB41" s="96">
        <f t="shared" si="157"/>
        <v>512</v>
      </c>
      <c r="AC41" s="96">
        <f t="shared" si="158"/>
        <v>512</v>
      </c>
      <c r="AD41" s="95" t="s">
        <v>80</v>
      </c>
      <c r="AE41" s="143" t="str">
        <f>CONCATENATE("/",LOWER(B41),"/",LOWER(LEFT(H41,4)),"/wasApp")</f>
        <v>/be1/be11/wasApp</v>
      </c>
      <c r="AF41" s="96" t="str">
        <f>CONCATENATE("/log/jboss7/",J41,"/",M41)</f>
        <v>/log/jboss7/P-BE11-O/P-BE11-O-F21</v>
      </c>
      <c r="AG41" s="95" t="s">
        <v>86</v>
      </c>
      <c r="AH41" s="98" t="s">
        <v>87</v>
      </c>
      <c r="AI41" s="98">
        <v>9998</v>
      </c>
      <c r="AJ41" s="99"/>
    </row>
    <row r="42" spans="1:36" s="51" customFormat="1" ht="16.5" customHeight="1" x14ac:dyDescent="0.3">
      <c r="A42" s="100" t="s">
        <v>12</v>
      </c>
      <c r="B42" s="65" t="s">
        <v>222</v>
      </c>
      <c r="C42" s="8">
        <v>2</v>
      </c>
      <c r="D42" s="52" t="s">
        <v>436</v>
      </c>
      <c r="E42" s="52" t="str">
        <f t="shared" si="162"/>
        <v>pitcwb0b</v>
      </c>
      <c r="F42" s="52" t="str">
        <f t="shared" si="163"/>
        <v>pitcap0b</v>
      </c>
      <c r="G42" s="9" t="s">
        <v>284</v>
      </c>
      <c r="H42" s="33" t="str">
        <f>VLOOKUP(G42,'Domain별 코드 체계'!$B$5:$J$29,7,0)</f>
        <v>BE11</v>
      </c>
      <c r="I42" s="126" t="s">
        <v>5</v>
      </c>
      <c r="J42" s="10" t="str">
        <f t="shared" si="151"/>
        <v>P-BE11-O</v>
      </c>
      <c r="K42" s="131" t="s">
        <v>88</v>
      </c>
      <c r="L42" s="141">
        <v>2</v>
      </c>
      <c r="M42" s="57" t="str">
        <f t="shared" si="152"/>
        <v>P-BE11-O-F22</v>
      </c>
      <c r="N42" s="158" t="str">
        <f>IF(K42="S",9,"8")&amp;VLOOKUP(H42,'WAS Domain'!$E$11:$I$26,3,0)&amp;VLOOKUP(H42,'WAS Domain'!$E$11:$I$26,4,0)&amp;IF(RIGHT(H42,1)="1",L42,RIGHT(H42,1))</f>
        <v>8232</v>
      </c>
      <c r="O42" s="158">
        <f t="shared" si="12"/>
        <v>8675</v>
      </c>
      <c r="P42" s="158" t="str">
        <f>VLOOKUP(H42,'WAS Domain'!$E$11:$I$26,2,0)&amp;VLOOKUP(H42,'WAS Domain'!$E$11:$I$26,3,0)&amp;VLOOKUP(H42,'WAS Domain'!$E$11:$I$26,4,0)&amp;VLOOKUP(H42,'WAS Domain'!$E$11:$I$26,5,0)&amp;IF(K42="A",0,IF(K42="F",L42,IF(LEFT(H42,3)="FWM",L42,9)))</f>
        <v>12312</v>
      </c>
      <c r="Q42" s="190">
        <f t="shared" si="164"/>
        <v>12241</v>
      </c>
      <c r="R42" s="190">
        <f t="shared" si="165"/>
        <v>14222</v>
      </c>
      <c r="S42" s="190">
        <f t="shared" si="15"/>
        <v>14231</v>
      </c>
      <c r="T42" s="190">
        <f t="shared" si="166"/>
        <v>4232</v>
      </c>
      <c r="U42" s="190">
        <f t="shared" si="134"/>
        <v>10231</v>
      </c>
      <c r="V42" s="190">
        <f t="shared" si="135"/>
        <v>11832</v>
      </c>
      <c r="W42" s="57" t="s">
        <v>292</v>
      </c>
      <c r="X42" s="57" t="str">
        <f t="shared" si="153"/>
        <v>P-BE11-O-A11</v>
      </c>
      <c r="Y42" s="57">
        <f t="shared" si="154"/>
        <v>2048</v>
      </c>
      <c r="Z42" s="57">
        <f t="shared" si="155"/>
        <v>768</v>
      </c>
      <c r="AA42" s="57">
        <f t="shared" si="156"/>
        <v>768</v>
      </c>
      <c r="AB42" s="57">
        <f t="shared" si="157"/>
        <v>512</v>
      </c>
      <c r="AC42" s="57">
        <f t="shared" si="158"/>
        <v>512</v>
      </c>
      <c r="AD42" s="65" t="s">
        <v>80</v>
      </c>
      <c r="AE42" s="143" t="str">
        <f t="shared" ref="AE42:AE56" si="167">CONCATENATE("/",LOWER(B42),"/",LOWER(LEFT(H42,4)),"/wasApp")</f>
        <v>/be1/be11/wasApp</v>
      </c>
      <c r="AF42" s="57" t="str">
        <f>CONCATENATE("/log/jboss7/",J42,"/",M42)</f>
        <v>/log/jboss7/P-BE11-O/P-BE11-O-F22</v>
      </c>
      <c r="AG42" s="65" t="s">
        <v>86</v>
      </c>
      <c r="AH42" s="13" t="s">
        <v>87</v>
      </c>
      <c r="AI42" s="13">
        <v>9998</v>
      </c>
      <c r="AJ42" s="101"/>
    </row>
    <row r="43" spans="1:36" s="51" customFormat="1" ht="16.5" customHeight="1" x14ac:dyDescent="0.3">
      <c r="A43" s="100" t="s">
        <v>12</v>
      </c>
      <c r="B43" s="8" t="s">
        <v>236</v>
      </c>
      <c r="C43" s="8">
        <v>2</v>
      </c>
      <c r="D43" s="52" t="s">
        <v>435</v>
      </c>
      <c r="E43" s="52" t="str">
        <f t="shared" si="162"/>
        <v>pitcwb0b</v>
      </c>
      <c r="F43" s="52" t="str">
        <f t="shared" si="163"/>
        <v>pitcap0b</v>
      </c>
      <c r="G43" s="9" t="s">
        <v>294</v>
      </c>
      <c r="H43" s="33" t="str">
        <f>VLOOKUP(G43,'Domain별 코드 체계'!$B$5:$J$29,7,0)</f>
        <v>PQ11</v>
      </c>
      <c r="I43" s="126" t="s">
        <v>5</v>
      </c>
      <c r="J43" s="10" t="str">
        <f t="shared" si="151"/>
        <v>P-PQ11-O</v>
      </c>
      <c r="K43" s="131" t="s">
        <v>88</v>
      </c>
      <c r="L43" s="141">
        <v>1</v>
      </c>
      <c r="M43" s="57" t="str">
        <f t="shared" si="152"/>
        <v>P-PQ11-O-F21</v>
      </c>
      <c r="N43" s="59" t="str">
        <f>IF(K43="S",9,"8")&amp;VLOOKUP(H43,'WAS Domain'!$E$11:$I$26,3,0)&amp;VLOOKUP(H43,'WAS Domain'!$E$11:$I$26,4,0)&amp;IF(RIGHT(H43,1)="1",L43,RIGHT(H43,1))</f>
        <v>8221</v>
      </c>
      <c r="O43" s="59">
        <f t="shared" si="12"/>
        <v>8664</v>
      </c>
      <c r="P43" s="59" t="str">
        <f>VLOOKUP(H43,'WAS Domain'!$E$11:$I$26,2,0)&amp;VLOOKUP(H43,'WAS Domain'!$E$11:$I$26,3,0)&amp;VLOOKUP(H43,'WAS Domain'!$E$11:$I$26,4,0)&amp;VLOOKUP(H43,'WAS Domain'!$E$11:$I$26,5,0)&amp;IF(K43="A",0,IF(K43="F",L43,IF(LEFT(H43,3)="FWM",L43,9)))</f>
        <v>12211</v>
      </c>
      <c r="Q43" s="58">
        <f t="shared" si="164"/>
        <v>12140</v>
      </c>
      <c r="R43" s="58">
        <f t="shared" si="165"/>
        <v>14121</v>
      </c>
      <c r="S43" s="58">
        <f t="shared" si="15"/>
        <v>14130</v>
      </c>
      <c r="T43" s="58">
        <f t="shared" si="166"/>
        <v>4131</v>
      </c>
      <c r="U43" s="58">
        <f t="shared" si="134"/>
        <v>10130</v>
      </c>
      <c r="V43" s="58">
        <f t="shared" si="135"/>
        <v>11731</v>
      </c>
      <c r="W43" s="57" t="s">
        <v>295</v>
      </c>
      <c r="X43" s="57" t="str">
        <f t="shared" si="153"/>
        <v>P-PQ11-O-A11</v>
      </c>
      <c r="Y43" s="57">
        <f t="shared" si="154"/>
        <v>2048</v>
      </c>
      <c r="Z43" s="57">
        <f t="shared" si="155"/>
        <v>768</v>
      </c>
      <c r="AA43" s="57">
        <f t="shared" si="156"/>
        <v>768</v>
      </c>
      <c r="AB43" s="57">
        <f t="shared" si="157"/>
        <v>512</v>
      </c>
      <c r="AC43" s="57">
        <f t="shared" si="158"/>
        <v>512</v>
      </c>
      <c r="AD43" s="65" t="s">
        <v>80</v>
      </c>
      <c r="AE43" s="143" t="str">
        <f t="shared" si="167"/>
        <v>/pq1/pq11/wasApp</v>
      </c>
      <c r="AF43" s="57" t="str">
        <f>CONCATENATE("/log/jboss7/",J43,"/",M43)</f>
        <v>/log/jboss7/P-PQ11-O/P-PQ11-O-F21</v>
      </c>
      <c r="AG43" s="65" t="s">
        <v>86</v>
      </c>
      <c r="AH43" s="13" t="s">
        <v>87</v>
      </c>
      <c r="AI43" s="13">
        <v>9998</v>
      </c>
      <c r="AJ43" s="101"/>
    </row>
    <row r="44" spans="1:36" s="51" customFormat="1" ht="16.5" customHeight="1" x14ac:dyDescent="0.3">
      <c r="A44" s="100" t="s">
        <v>12</v>
      </c>
      <c r="B44" s="8" t="s">
        <v>236</v>
      </c>
      <c r="C44" s="8">
        <v>2</v>
      </c>
      <c r="D44" s="52" t="s">
        <v>436</v>
      </c>
      <c r="E44" s="52" t="str">
        <f t="shared" si="162"/>
        <v>pitcwb0b</v>
      </c>
      <c r="F44" s="52" t="str">
        <f t="shared" si="163"/>
        <v>pitcap0b</v>
      </c>
      <c r="G44" s="9" t="s">
        <v>288</v>
      </c>
      <c r="H44" s="33" t="str">
        <f>VLOOKUP(G44,'Domain별 코드 체계'!$B$5:$J$29,7,0)</f>
        <v>PQ11</v>
      </c>
      <c r="I44" s="126" t="s">
        <v>5</v>
      </c>
      <c r="J44" s="10" t="str">
        <f t="shared" si="151"/>
        <v>P-PQ11-O</v>
      </c>
      <c r="K44" s="131" t="s">
        <v>88</v>
      </c>
      <c r="L44" s="141">
        <v>2</v>
      </c>
      <c r="M44" s="57" t="str">
        <f t="shared" si="152"/>
        <v>P-PQ11-O-F22</v>
      </c>
      <c r="N44" s="158" t="str">
        <f>IF(K44="S",9,"8")&amp;VLOOKUP(H44,'WAS Domain'!$E$11:$I$26,3,0)&amp;VLOOKUP(H44,'WAS Domain'!$E$11:$I$26,4,0)&amp;IF(RIGHT(H44,1)="1",L44,RIGHT(H44,1))</f>
        <v>8222</v>
      </c>
      <c r="O44" s="158">
        <f t="shared" si="12"/>
        <v>8665</v>
      </c>
      <c r="P44" s="59" t="str">
        <f>VLOOKUP(H44,'WAS Domain'!$E$11:$I$26,2,0)&amp;VLOOKUP(H44,'WAS Domain'!$E$11:$I$26,3,0)&amp;VLOOKUP(H44,'WAS Domain'!$E$11:$I$26,4,0)&amp;VLOOKUP(H44,'WAS Domain'!$E$11:$I$26,5,0)&amp;IF(K44="A",0,IF(K44="F",L44,IF(LEFT(H44,3)="FWM",L44,9)))</f>
        <v>12212</v>
      </c>
      <c r="Q44" s="58">
        <f t="shared" si="164"/>
        <v>12141</v>
      </c>
      <c r="R44" s="58">
        <f t="shared" si="165"/>
        <v>14122</v>
      </c>
      <c r="S44" s="58">
        <f t="shared" si="15"/>
        <v>14131</v>
      </c>
      <c r="T44" s="58">
        <f t="shared" si="166"/>
        <v>4132</v>
      </c>
      <c r="U44" s="58">
        <f t="shared" si="134"/>
        <v>10131</v>
      </c>
      <c r="V44" s="58">
        <f t="shared" si="135"/>
        <v>11732</v>
      </c>
      <c r="W44" s="57" t="s">
        <v>296</v>
      </c>
      <c r="X44" s="57" t="str">
        <f t="shared" si="153"/>
        <v>P-PQ11-O-A11</v>
      </c>
      <c r="Y44" s="57">
        <f t="shared" si="154"/>
        <v>2048</v>
      </c>
      <c r="Z44" s="57">
        <f t="shared" si="155"/>
        <v>768</v>
      </c>
      <c r="AA44" s="57">
        <f t="shared" si="156"/>
        <v>768</v>
      </c>
      <c r="AB44" s="57">
        <f t="shared" si="157"/>
        <v>512</v>
      </c>
      <c r="AC44" s="57">
        <f t="shared" si="158"/>
        <v>512</v>
      </c>
      <c r="AD44" s="65" t="s">
        <v>80</v>
      </c>
      <c r="AE44" s="143" t="str">
        <f t="shared" si="167"/>
        <v>/pq1/pq11/wasApp</v>
      </c>
      <c r="AF44" s="57" t="str">
        <f>CONCATENATE("/log/jboss7/",J44,"/",M44)</f>
        <v>/log/jboss7/P-PQ11-O/P-PQ11-O-F22</v>
      </c>
      <c r="AG44" s="65" t="s">
        <v>86</v>
      </c>
      <c r="AH44" s="13" t="s">
        <v>87</v>
      </c>
      <c r="AI44" s="13">
        <v>9998</v>
      </c>
      <c r="AJ44" s="101"/>
    </row>
    <row r="45" spans="1:36" s="51" customFormat="1" ht="16.5" customHeight="1" x14ac:dyDescent="0.3">
      <c r="A45" s="100" t="s">
        <v>12</v>
      </c>
      <c r="B45" s="8" t="s">
        <v>236</v>
      </c>
      <c r="C45" s="8">
        <v>2</v>
      </c>
      <c r="D45" s="52" t="s">
        <v>437</v>
      </c>
      <c r="E45" s="52" t="str">
        <f t="shared" si="162"/>
        <v>pitcwb0b</v>
      </c>
      <c r="F45" s="52" t="str">
        <f t="shared" si="163"/>
        <v>pitcap0b</v>
      </c>
      <c r="G45" s="9" t="s">
        <v>288</v>
      </c>
      <c r="H45" s="33" t="str">
        <f>VLOOKUP(G45,'Domain별 코드 체계'!$B$5:$J$29,7,0)</f>
        <v>PQ11</v>
      </c>
      <c r="I45" s="126" t="s">
        <v>5</v>
      </c>
      <c r="J45" s="10" t="str">
        <f t="shared" ref="J45:J57" si="168">CONCATENATE(UPPER(IF(A45="d","P",A45)),"-",H45,"-",I45)</f>
        <v>P-PQ11-O</v>
      </c>
      <c r="K45" s="131" t="s">
        <v>389</v>
      </c>
      <c r="L45" s="141">
        <v>1</v>
      </c>
      <c r="M45" s="57" t="str">
        <f t="shared" ref="M45:M57" si="169">CONCATENATE(J45,"-",K45,C45,L45)</f>
        <v>P-PQ11-O-S21</v>
      </c>
      <c r="N45" s="59" t="str">
        <f>IF(K45="S",9,"8")&amp;VLOOKUP(H45,'WAS Domain'!$E$11:$I$26,3,0)&amp;VLOOKUP(H45,'WAS Domain'!$E$11:$I$26,4,0)&amp;IF(RIGHT(H45,1)="1",L45,RIGHT(H45,1))</f>
        <v>9221</v>
      </c>
      <c r="O45" s="59">
        <f t="shared" si="12"/>
        <v>9664</v>
      </c>
      <c r="P45" s="59" t="str">
        <f>VLOOKUP(H45,'WAS Domain'!$E$11:$I$26,2,0)&amp;VLOOKUP(H45,'WAS Domain'!$E$11:$I$26,3,0)&amp;VLOOKUP(H45,'WAS Domain'!$E$11:$I$26,4,0)&amp;VLOOKUP(H45,'WAS Domain'!$E$11:$I$26,5,0)&amp;IF(K45="A",0,IF(K45="F",L45,IF(LEFT(H45,3)="FWM",L45,9)))</f>
        <v>12219</v>
      </c>
      <c r="Q45" s="58">
        <f t="shared" si="164"/>
        <v>12148</v>
      </c>
      <c r="R45" s="58">
        <f t="shared" si="165"/>
        <v>14129</v>
      </c>
      <c r="S45" s="58">
        <f t="shared" si="15"/>
        <v>14138</v>
      </c>
      <c r="T45" s="58">
        <f t="shared" si="166"/>
        <v>4139</v>
      </c>
      <c r="U45" s="58">
        <f t="shared" si="134"/>
        <v>10138</v>
      </c>
      <c r="V45" s="58">
        <f t="shared" si="135"/>
        <v>11739</v>
      </c>
      <c r="W45" s="57" t="s">
        <v>334</v>
      </c>
      <c r="X45" s="57" t="str">
        <f t="shared" ref="X45:X57" si="170">IF(K45="A","",CONCATENATE(J45,"-A11"))</f>
        <v>P-PQ11-O-A11</v>
      </c>
      <c r="Y45" s="57">
        <f t="shared" ref="Y45:Y57" si="171">IF(K45="A",512,IF(K45="F",2048,IF(K45="S",1024)))</f>
        <v>1024</v>
      </c>
      <c r="Z45" s="57">
        <f t="shared" ref="Z45:Z57" si="172">IF(K45="A","",IF(K45="F",(Y45/16)*6,IF(K45="S",Y45/4)))</f>
        <v>256</v>
      </c>
      <c r="AA45" s="57">
        <f t="shared" ref="AA45:AA57" si="173">Z45</f>
        <v>256</v>
      </c>
      <c r="AB45" s="57">
        <f t="shared" ref="AB45:AB57" si="174">IF(K45="A","",IF(K45="F",(Y45/16)*4,IF(K45="S",Y45/4)))</f>
        <v>256</v>
      </c>
      <c r="AC45" s="57">
        <f t="shared" ref="AC45:AC57" si="175">AB45</f>
        <v>256</v>
      </c>
      <c r="AD45" s="65" t="s">
        <v>80</v>
      </c>
      <c r="AE45" s="143" t="str">
        <f t="shared" si="167"/>
        <v>/pq1/pq11/wasApp</v>
      </c>
      <c r="AF45" s="57" t="str">
        <f t="shared" ref="AF45:AF57" si="176">CONCATENATE("/log/jboss7/",J45,"/",M45)</f>
        <v>/log/jboss7/P-PQ11-O/P-PQ11-O-S21</v>
      </c>
      <c r="AG45" s="65" t="s">
        <v>86</v>
      </c>
      <c r="AH45" s="13" t="s">
        <v>87</v>
      </c>
      <c r="AI45" s="13">
        <v>9998</v>
      </c>
      <c r="AJ45" s="101"/>
    </row>
    <row r="46" spans="1:36" s="51" customFormat="1" ht="16.5" customHeight="1" x14ac:dyDescent="0.3">
      <c r="A46" s="100" t="s">
        <v>12</v>
      </c>
      <c r="B46" s="8" t="s">
        <v>223</v>
      </c>
      <c r="C46" s="8">
        <v>2</v>
      </c>
      <c r="D46" s="52" t="s">
        <v>437</v>
      </c>
      <c r="E46" s="52" t="str">
        <f t="shared" si="162"/>
        <v>pitcwb0b</v>
      </c>
      <c r="F46" s="52" t="str">
        <f t="shared" si="163"/>
        <v>pitcap0b</v>
      </c>
      <c r="G46" s="9" t="s">
        <v>289</v>
      </c>
      <c r="H46" s="33" t="str">
        <f>VLOOKUP(G46,'Domain별 코드 체계'!$B$5:$J$29,7,0)</f>
        <v>SP11</v>
      </c>
      <c r="I46" s="126" t="s">
        <v>5</v>
      </c>
      <c r="J46" s="10" t="str">
        <f t="shared" si="168"/>
        <v>P-SP11-O</v>
      </c>
      <c r="K46" s="131" t="s">
        <v>88</v>
      </c>
      <c r="L46" s="141">
        <v>1</v>
      </c>
      <c r="M46" s="57" t="str">
        <f t="shared" si="169"/>
        <v>P-SP11-O-F21</v>
      </c>
      <c r="N46" s="59" t="str">
        <f>IF(K46="S",9,"8")&amp;VLOOKUP(H46,'WAS Domain'!$E$11:$I$26,3,0)&amp;VLOOKUP(H46,'WAS Domain'!$E$11:$I$26,4,0)&amp;IF(RIGHT(H46,1)="1",L46,RIGHT(H46,1))</f>
        <v>8211</v>
      </c>
      <c r="O46" s="59">
        <f t="shared" si="12"/>
        <v>8654</v>
      </c>
      <c r="P46" s="59" t="str">
        <f>VLOOKUP(H46,'WAS Domain'!$E$11:$I$26,2,0)&amp;VLOOKUP(H46,'WAS Domain'!$E$11:$I$26,3,0)&amp;VLOOKUP(H46,'WAS Domain'!$E$11:$I$26,4,0)&amp;VLOOKUP(H46,'WAS Domain'!$E$11:$I$26,5,0)&amp;IF(K46="A",0,IF(K46="F",L46,IF(LEFT(H46,3)="FWM",L46,9)))</f>
        <v>12111</v>
      </c>
      <c r="Q46" s="58">
        <f t="shared" si="164"/>
        <v>12040</v>
      </c>
      <c r="R46" s="58">
        <f t="shared" si="165"/>
        <v>14021</v>
      </c>
      <c r="S46" s="58">
        <f t="shared" si="15"/>
        <v>14030</v>
      </c>
      <c r="T46" s="58">
        <f t="shared" si="166"/>
        <v>4031</v>
      </c>
      <c r="U46" s="58">
        <f t="shared" si="134"/>
        <v>10030</v>
      </c>
      <c r="V46" s="58">
        <f t="shared" si="135"/>
        <v>11631</v>
      </c>
      <c r="W46" s="57" t="s">
        <v>335</v>
      </c>
      <c r="X46" s="57" t="str">
        <f t="shared" si="170"/>
        <v>P-SP11-O-A11</v>
      </c>
      <c r="Y46" s="57">
        <f t="shared" si="171"/>
        <v>2048</v>
      </c>
      <c r="Z46" s="57">
        <f t="shared" si="172"/>
        <v>768</v>
      </c>
      <c r="AA46" s="57">
        <f t="shared" si="173"/>
        <v>768</v>
      </c>
      <c r="AB46" s="57">
        <f t="shared" si="174"/>
        <v>512</v>
      </c>
      <c r="AC46" s="57">
        <f t="shared" si="175"/>
        <v>512</v>
      </c>
      <c r="AD46" s="65" t="s">
        <v>80</v>
      </c>
      <c r="AE46" s="143" t="str">
        <f t="shared" si="167"/>
        <v>/sp1/sp11/wasApp</v>
      </c>
      <c r="AF46" s="57" t="str">
        <f t="shared" si="176"/>
        <v>/log/jboss7/P-SP11-O/P-SP11-O-F21</v>
      </c>
      <c r="AG46" s="65" t="s">
        <v>86</v>
      </c>
      <c r="AH46" s="13" t="s">
        <v>87</v>
      </c>
      <c r="AI46" s="13">
        <v>9998</v>
      </c>
      <c r="AJ46" s="101"/>
    </row>
    <row r="47" spans="1:36" s="51" customFormat="1" ht="16.5" customHeight="1" x14ac:dyDescent="0.3">
      <c r="A47" s="100" t="s">
        <v>12</v>
      </c>
      <c r="B47" s="8" t="s">
        <v>223</v>
      </c>
      <c r="C47" s="8">
        <v>2</v>
      </c>
      <c r="D47" s="52" t="s">
        <v>436</v>
      </c>
      <c r="E47" s="52" t="str">
        <f t="shared" si="162"/>
        <v>pitcwb0b</v>
      </c>
      <c r="F47" s="52" t="str">
        <f t="shared" si="163"/>
        <v>pitcap0b</v>
      </c>
      <c r="G47" s="9" t="s">
        <v>289</v>
      </c>
      <c r="H47" s="33" t="str">
        <f>VLOOKUP(G47,'Domain별 코드 체계'!$B$5:$J$29,7,0)</f>
        <v>SP11</v>
      </c>
      <c r="I47" s="126" t="s">
        <v>5</v>
      </c>
      <c r="J47" s="10" t="str">
        <f t="shared" si="168"/>
        <v>P-SP11-O</v>
      </c>
      <c r="K47" s="131" t="s">
        <v>377</v>
      </c>
      <c r="L47" s="141">
        <v>1</v>
      </c>
      <c r="M47" s="57" t="str">
        <f t="shared" si="169"/>
        <v>P-SP11-O-S21</v>
      </c>
      <c r="N47" s="59" t="str">
        <f>IF(K47="S",9,"8")&amp;VLOOKUP(H47,'WAS Domain'!$E$11:$I$26,3,0)&amp;VLOOKUP(H47,'WAS Domain'!$E$11:$I$26,4,0)&amp;IF(RIGHT(H47,1)="1",L47,RIGHT(H47,1))</f>
        <v>9211</v>
      </c>
      <c r="O47" s="59">
        <f t="shared" si="12"/>
        <v>9654</v>
      </c>
      <c r="P47" s="59" t="str">
        <f>VLOOKUP(H47,'WAS Domain'!$E$11:$I$26,2,0)&amp;VLOOKUP(H47,'WAS Domain'!$E$11:$I$26,3,0)&amp;VLOOKUP(H47,'WAS Domain'!$E$11:$I$26,4,0)&amp;VLOOKUP(H47,'WAS Domain'!$E$11:$I$26,5,0)&amp;IF(K47="A",0,IF(K47="F",L47,IF(LEFT(H47,3)="FWM",L47,9)))</f>
        <v>12119</v>
      </c>
      <c r="Q47" s="58">
        <f t="shared" si="164"/>
        <v>12048</v>
      </c>
      <c r="R47" s="58">
        <f t="shared" si="165"/>
        <v>14029</v>
      </c>
      <c r="S47" s="58">
        <f t="shared" si="15"/>
        <v>14038</v>
      </c>
      <c r="T47" s="58">
        <f t="shared" si="166"/>
        <v>4039</v>
      </c>
      <c r="U47" s="58">
        <f t="shared" si="134"/>
        <v>10038</v>
      </c>
      <c r="V47" s="58">
        <f t="shared" si="135"/>
        <v>11639</v>
      </c>
      <c r="W47" s="57" t="s">
        <v>336</v>
      </c>
      <c r="X47" s="57" t="str">
        <f t="shared" si="170"/>
        <v>P-SP11-O-A11</v>
      </c>
      <c r="Y47" s="57">
        <f t="shared" si="171"/>
        <v>1024</v>
      </c>
      <c r="Z47" s="57">
        <f t="shared" si="172"/>
        <v>256</v>
      </c>
      <c r="AA47" s="57">
        <f t="shared" si="173"/>
        <v>256</v>
      </c>
      <c r="AB47" s="57">
        <f t="shared" si="174"/>
        <v>256</v>
      </c>
      <c r="AC47" s="57">
        <f t="shared" si="175"/>
        <v>256</v>
      </c>
      <c r="AD47" s="65" t="s">
        <v>80</v>
      </c>
      <c r="AE47" s="143" t="str">
        <f t="shared" si="167"/>
        <v>/sp1/sp11/wasApp</v>
      </c>
      <c r="AF47" s="57" t="str">
        <f t="shared" si="176"/>
        <v>/log/jboss7/P-SP11-O/P-SP11-O-S21</v>
      </c>
      <c r="AG47" s="65" t="s">
        <v>86</v>
      </c>
      <c r="AH47" s="13" t="s">
        <v>87</v>
      </c>
      <c r="AI47" s="13">
        <v>9998</v>
      </c>
      <c r="AJ47" s="101"/>
    </row>
    <row r="48" spans="1:36" s="51" customFormat="1" ht="16.5" customHeight="1" x14ac:dyDescent="0.3">
      <c r="A48" s="100" t="s">
        <v>12</v>
      </c>
      <c r="B48" s="65" t="s">
        <v>287</v>
      </c>
      <c r="C48" s="8">
        <v>2</v>
      </c>
      <c r="D48" s="52" t="s">
        <v>435</v>
      </c>
      <c r="E48" s="52" t="str">
        <f t="shared" si="162"/>
        <v>pitcwb0b</v>
      </c>
      <c r="F48" s="52" t="str">
        <f t="shared" si="163"/>
        <v>pitcap0b</v>
      </c>
      <c r="G48" s="260" t="s">
        <v>191</v>
      </c>
      <c r="H48" s="33" t="str">
        <f>VLOOKUP(G48,'Domain별 코드 체계'!$B$5:$J$29,7,0)</f>
        <v>GE21</v>
      </c>
      <c r="I48" s="127" t="s">
        <v>338</v>
      </c>
      <c r="J48" s="10" t="str">
        <f t="shared" si="168"/>
        <v>P-GE21-O</v>
      </c>
      <c r="K48" s="131" t="s">
        <v>339</v>
      </c>
      <c r="L48" s="141">
        <v>1</v>
      </c>
      <c r="M48" s="57" t="str">
        <f t="shared" si="169"/>
        <v>P-GE21-O-F21</v>
      </c>
      <c r="N48" s="158" t="str">
        <f>IF(K48="S",9,"8")&amp;VLOOKUP(H48,'WAS Domain'!$E$11:$I$26,3,0)&amp;VLOOKUP(H48,'WAS Domain'!$E$11:$I$26,4,0)&amp;IF(RIGHT(H48,1)="1",L48,RIGHT(H48,1))</f>
        <v>8241</v>
      </c>
      <c r="O48" s="158">
        <f t="shared" si="12"/>
        <v>8684</v>
      </c>
      <c r="P48" s="158" t="str">
        <f>VLOOKUP(H48,'WAS Domain'!$E$11:$I$26,2,0)&amp;VLOOKUP(H48,'WAS Domain'!$E$11:$I$26,3,0)&amp;VLOOKUP(H48,'WAS Domain'!$E$11:$I$26,4,0)&amp;VLOOKUP(H48,'WAS Domain'!$E$11:$I$26,5,0)&amp;IF(K48="A",0,IF(K48="F",L48,IF(LEFT(H48,3)="FWM",L48,9)))</f>
        <v>12411</v>
      </c>
      <c r="Q48" s="190">
        <f t="shared" si="164"/>
        <v>12340</v>
      </c>
      <c r="R48" s="190">
        <f t="shared" si="165"/>
        <v>14321</v>
      </c>
      <c r="S48" s="190">
        <f t="shared" si="15"/>
        <v>14330</v>
      </c>
      <c r="T48" s="190">
        <f t="shared" si="166"/>
        <v>4331</v>
      </c>
      <c r="U48" s="190">
        <f t="shared" si="134"/>
        <v>10330</v>
      </c>
      <c r="V48" s="190">
        <f t="shared" si="135"/>
        <v>11931</v>
      </c>
      <c r="W48" s="57" t="s">
        <v>300</v>
      </c>
      <c r="X48" s="57" t="str">
        <f t="shared" si="170"/>
        <v>P-GE21-O-A11</v>
      </c>
      <c r="Y48" s="57">
        <f t="shared" si="171"/>
        <v>2048</v>
      </c>
      <c r="Z48" s="57">
        <f t="shared" si="172"/>
        <v>768</v>
      </c>
      <c r="AA48" s="57">
        <f t="shared" si="173"/>
        <v>768</v>
      </c>
      <c r="AB48" s="57">
        <f t="shared" si="174"/>
        <v>512</v>
      </c>
      <c r="AC48" s="57">
        <f t="shared" si="175"/>
        <v>512</v>
      </c>
      <c r="AD48" s="65" t="s">
        <v>80</v>
      </c>
      <c r="AE48" s="143" t="str">
        <f t="shared" si="167"/>
        <v>/ge2/ge21/wasApp</v>
      </c>
      <c r="AF48" s="57" t="str">
        <f t="shared" si="176"/>
        <v>/log/jboss7/P-GE21-O/P-GE21-O-F21</v>
      </c>
      <c r="AG48" s="65" t="s">
        <v>86</v>
      </c>
      <c r="AH48" s="13" t="s">
        <v>87</v>
      </c>
      <c r="AI48" s="13">
        <v>9998</v>
      </c>
      <c r="AJ48" s="101"/>
    </row>
    <row r="49" spans="1:36" s="51" customFormat="1" ht="16.5" customHeight="1" x14ac:dyDescent="0.3">
      <c r="A49" s="100" t="s">
        <v>12</v>
      </c>
      <c r="B49" s="65" t="s">
        <v>287</v>
      </c>
      <c r="C49" s="8">
        <v>2</v>
      </c>
      <c r="D49" s="52" t="s">
        <v>438</v>
      </c>
      <c r="E49" s="52" t="str">
        <f t="shared" si="162"/>
        <v>pitcwb0b</v>
      </c>
      <c r="F49" s="52" t="str">
        <f t="shared" si="163"/>
        <v>pitcap0b</v>
      </c>
      <c r="G49" s="260" t="s">
        <v>191</v>
      </c>
      <c r="H49" s="33" t="str">
        <f>VLOOKUP(G49,'Domain별 코드 체계'!$B$5:$J$29,7,0)</f>
        <v>GE21</v>
      </c>
      <c r="I49" s="127" t="s">
        <v>338</v>
      </c>
      <c r="J49" s="10" t="str">
        <f t="shared" si="168"/>
        <v>P-GE21-O</v>
      </c>
      <c r="K49" s="131" t="s">
        <v>339</v>
      </c>
      <c r="L49" s="141">
        <v>2</v>
      </c>
      <c r="M49" s="57" t="str">
        <f t="shared" si="169"/>
        <v>P-GE21-O-F22</v>
      </c>
      <c r="N49" s="158" t="str">
        <f>IF(K49="S",9,"8")&amp;VLOOKUP(H49,'WAS Domain'!$E$11:$I$26,3,0)&amp;VLOOKUP(H49,'WAS Domain'!$E$11:$I$26,4,0)&amp;IF(RIGHT(H49,1)="1",L49,RIGHT(H49,1))</f>
        <v>8242</v>
      </c>
      <c r="O49" s="158">
        <f t="shared" si="12"/>
        <v>8685</v>
      </c>
      <c r="P49" s="158" t="str">
        <f>VLOOKUP(H49,'WAS Domain'!$E$11:$I$26,2,0)&amp;VLOOKUP(H49,'WAS Domain'!$E$11:$I$26,3,0)&amp;VLOOKUP(H49,'WAS Domain'!$E$11:$I$26,4,0)&amp;VLOOKUP(H49,'WAS Domain'!$E$11:$I$26,5,0)&amp;IF(K49="A",0,IF(K49="F",L49,IF(LEFT(H49,3)="FWM",L49,9)))</f>
        <v>12412</v>
      </c>
      <c r="Q49" s="190">
        <f t="shared" si="164"/>
        <v>12341</v>
      </c>
      <c r="R49" s="190">
        <f t="shared" si="165"/>
        <v>14322</v>
      </c>
      <c r="S49" s="190">
        <f t="shared" si="15"/>
        <v>14331</v>
      </c>
      <c r="T49" s="190">
        <f t="shared" si="166"/>
        <v>4332</v>
      </c>
      <c r="U49" s="190">
        <f t="shared" si="134"/>
        <v>10331</v>
      </c>
      <c r="V49" s="190">
        <f t="shared" si="135"/>
        <v>11932</v>
      </c>
      <c r="W49" s="57" t="s">
        <v>301</v>
      </c>
      <c r="X49" s="57" t="str">
        <f t="shared" si="170"/>
        <v>P-GE21-O-A11</v>
      </c>
      <c r="Y49" s="57">
        <f t="shared" si="171"/>
        <v>2048</v>
      </c>
      <c r="Z49" s="57">
        <f t="shared" si="172"/>
        <v>768</v>
      </c>
      <c r="AA49" s="57">
        <f t="shared" si="173"/>
        <v>768</v>
      </c>
      <c r="AB49" s="57">
        <f t="shared" si="174"/>
        <v>512</v>
      </c>
      <c r="AC49" s="57">
        <f t="shared" si="175"/>
        <v>512</v>
      </c>
      <c r="AD49" s="65" t="s">
        <v>80</v>
      </c>
      <c r="AE49" s="143" t="str">
        <f t="shared" si="167"/>
        <v>/ge2/ge21/wasApp</v>
      </c>
      <c r="AF49" s="57" t="str">
        <f t="shared" si="176"/>
        <v>/log/jboss7/P-GE21-O/P-GE21-O-F22</v>
      </c>
      <c r="AG49" s="65" t="s">
        <v>86</v>
      </c>
      <c r="AH49" s="13" t="s">
        <v>87</v>
      </c>
      <c r="AI49" s="13">
        <v>9998</v>
      </c>
      <c r="AJ49" s="101"/>
    </row>
    <row r="50" spans="1:36" s="51" customFormat="1" ht="16.5" customHeight="1" x14ac:dyDescent="0.3">
      <c r="A50" s="100" t="s">
        <v>12</v>
      </c>
      <c r="B50" s="65" t="s">
        <v>287</v>
      </c>
      <c r="C50" s="8">
        <v>2</v>
      </c>
      <c r="D50" s="52" t="s">
        <v>436</v>
      </c>
      <c r="E50" s="52" t="str">
        <f t="shared" si="162"/>
        <v>pitcwb0b</v>
      </c>
      <c r="F50" s="52" t="str">
        <f t="shared" si="163"/>
        <v>pitcap0b</v>
      </c>
      <c r="G50" s="260" t="s">
        <v>191</v>
      </c>
      <c r="H50" s="33" t="str">
        <f>VLOOKUP(G50,'Domain별 코드 체계'!$B$5:$J$29,7,0)</f>
        <v>GE21</v>
      </c>
      <c r="I50" s="127" t="s">
        <v>375</v>
      </c>
      <c r="J50" s="10" t="str">
        <f t="shared" si="168"/>
        <v>P-GE21-O</v>
      </c>
      <c r="K50" s="131" t="s">
        <v>377</v>
      </c>
      <c r="L50" s="141">
        <v>1</v>
      </c>
      <c r="M50" s="57" t="str">
        <f t="shared" si="169"/>
        <v>P-GE21-O-S21</v>
      </c>
      <c r="N50" s="158" t="str">
        <f>IF(K50="S",9,"8")&amp;VLOOKUP(H50,'WAS Domain'!$E$11:$I$26,3,0)&amp;VLOOKUP(H50,'WAS Domain'!$E$11:$I$26,4,0)&amp;IF(RIGHT(H50,1)="1",L50,RIGHT(H50,1))</f>
        <v>9241</v>
      </c>
      <c r="O50" s="158">
        <f t="shared" si="12"/>
        <v>9684</v>
      </c>
      <c r="P50" s="158" t="str">
        <f>VLOOKUP(H50,'WAS Domain'!$E$11:$I$26,2,0)&amp;VLOOKUP(H50,'WAS Domain'!$E$11:$I$26,3,0)&amp;VLOOKUP(H50,'WAS Domain'!$E$11:$I$26,4,0)&amp;VLOOKUP(H50,'WAS Domain'!$E$11:$I$26,5,0)&amp;IF(K50="A",0,IF(K50="F",L50,IF(LEFT(H50,3)="FWM",L50,9)))</f>
        <v>12419</v>
      </c>
      <c r="Q50" s="190">
        <f t="shared" si="164"/>
        <v>12348</v>
      </c>
      <c r="R50" s="190">
        <f t="shared" si="165"/>
        <v>14329</v>
      </c>
      <c r="S50" s="190">
        <f t="shared" si="15"/>
        <v>14338</v>
      </c>
      <c r="T50" s="190">
        <f t="shared" si="166"/>
        <v>4339</v>
      </c>
      <c r="U50" s="190">
        <f t="shared" si="134"/>
        <v>10338</v>
      </c>
      <c r="V50" s="190">
        <f t="shared" si="135"/>
        <v>11939</v>
      </c>
      <c r="W50" s="57" t="s">
        <v>337</v>
      </c>
      <c r="X50" s="57" t="str">
        <f t="shared" si="170"/>
        <v>P-GE21-O-A11</v>
      </c>
      <c r="Y50" s="57">
        <f t="shared" si="171"/>
        <v>1024</v>
      </c>
      <c r="Z50" s="57">
        <f t="shared" si="172"/>
        <v>256</v>
      </c>
      <c r="AA50" s="57">
        <f t="shared" si="173"/>
        <v>256</v>
      </c>
      <c r="AB50" s="57">
        <f t="shared" si="174"/>
        <v>256</v>
      </c>
      <c r="AC50" s="57">
        <f t="shared" si="175"/>
        <v>256</v>
      </c>
      <c r="AD50" s="65" t="s">
        <v>80</v>
      </c>
      <c r="AE50" s="143" t="str">
        <f t="shared" si="167"/>
        <v>/ge2/ge21/wasApp</v>
      </c>
      <c r="AF50" s="57" t="str">
        <f t="shared" si="176"/>
        <v>/log/jboss7/P-GE21-O/P-GE21-O-S21</v>
      </c>
      <c r="AG50" s="65" t="s">
        <v>86</v>
      </c>
      <c r="AH50" s="13" t="s">
        <v>87</v>
      </c>
      <c r="AI50" s="13">
        <v>9998</v>
      </c>
      <c r="AJ50" s="101"/>
    </row>
    <row r="51" spans="1:36" s="51" customFormat="1" ht="16.5" customHeight="1" x14ac:dyDescent="0.3">
      <c r="A51" s="100" t="s">
        <v>12</v>
      </c>
      <c r="B51" s="65" t="s">
        <v>229</v>
      </c>
      <c r="C51" s="8">
        <v>2</v>
      </c>
      <c r="D51" s="52" t="s">
        <v>435</v>
      </c>
      <c r="E51" s="52" t="str">
        <f t="shared" si="162"/>
        <v>pitcwb0b</v>
      </c>
      <c r="F51" s="52" t="str">
        <f t="shared" si="163"/>
        <v>pitcap0b</v>
      </c>
      <c r="G51" s="9" t="s">
        <v>192</v>
      </c>
      <c r="H51" s="33" t="str">
        <f>VLOOKUP(G51,'Domain별 코드 체계'!$B$5:$J$29,7,0)</f>
        <v>MS71</v>
      </c>
      <c r="I51" s="126" t="s">
        <v>5</v>
      </c>
      <c r="J51" s="10" t="str">
        <f t="shared" si="168"/>
        <v>P-MS71-O</v>
      </c>
      <c r="K51" s="131" t="s">
        <v>88</v>
      </c>
      <c r="L51" s="141">
        <v>1</v>
      </c>
      <c r="M51" s="57" t="str">
        <f t="shared" si="169"/>
        <v>P-MS71-O-F21</v>
      </c>
      <c r="N51" s="59" t="str">
        <f>IF(K51="S",9,"8")&amp;VLOOKUP(H51,'WAS Domain'!$E$11:$I$26,3,0)&amp;VLOOKUP(H51,'WAS Domain'!$E$11:$I$26,4,0)&amp;IF(RIGHT(H51,1)="1",L51,RIGHT(H51,1))</f>
        <v>8251</v>
      </c>
      <c r="O51" s="59">
        <f t="shared" si="12"/>
        <v>8694</v>
      </c>
      <c r="P51" s="59" t="str">
        <f>VLOOKUP(H51,'WAS Domain'!$E$11:$I$26,2,0)&amp;VLOOKUP(H51,'WAS Domain'!$E$11:$I$26,3,0)&amp;VLOOKUP(H51,'WAS Domain'!$E$11:$I$26,4,0)&amp;VLOOKUP(H51,'WAS Domain'!$E$11:$I$26,5,0)&amp;IF(K51="A",0,IF(K51="F",L51,IF(LEFT(H51,3)="FWM",L51,9)))</f>
        <v>12511</v>
      </c>
      <c r="Q51" s="58">
        <f t="shared" si="164"/>
        <v>12440</v>
      </c>
      <c r="R51" s="58">
        <f t="shared" si="165"/>
        <v>14421</v>
      </c>
      <c r="S51" s="58">
        <f t="shared" si="15"/>
        <v>14430</v>
      </c>
      <c r="T51" s="58">
        <f t="shared" si="166"/>
        <v>4431</v>
      </c>
      <c r="U51" s="58">
        <f t="shared" si="134"/>
        <v>10430</v>
      </c>
      <c r="V51" s="58">
        <f t="shared" si="135"/>
        <v>12031</v>
      </c>
      <c r="W51" s="57" t="s">
        <v>302</v>
      </c>
      <c r="X51" s="57" t="str">
        <f t="shared" si="170"/>
        <v>P-MS71-O-A11</v>
      </c>
      <c r="Y51" s="57">
        <f t="shared" si="171"/>
        <v>2048</v>
      </c>
      <c r="Z51" s="57">
        <f t="shared" si="172"/>
        <v>768</v>
      </c>
      <c r="AA51" s="57">
        <f t="shared" si="173"/>
        <v>768</v>
      </c>
      <c r="AB51" s="57">
        <f t="shared" si="174"/>
        <v>512</v>
      </c>
      <c r="AC51" s="57">
        <f t="shared" si="175"/>
        <v>512</v>
      </c>
      <c r="AD51" s="65" t="s">
        <v>80</v>
      </c>
      <c r="AE51" s="143" t="str">
        <f t="shared" si="167"/>
        <v>/ms7/ms71/wasApp</v>
      </c>
      <c r="AF51" s="57" t="str">
        <f t="shared" si="176"/>
        <v>/log/jboss7/P-MS71-O/P-MS71-O-F21</v>
      </c>
      <c r="AG51" s="65" t="s">
        <v>86</v>
      </c>
      <c r="AH51" s="13" t="s">
        <v>87</v>
      </c>
      <c r="AI51" s="13">
        <v>9998</v>
      </c>
      <c r="AJ51" s="101"/>
    </row>
    <row r="52" spans="1:36" s="51" customFormat="1" ht="16.5" customHeight="1" x14ac:dyDescent="0.3">
      <c r="A52" s="100" t="s">
        <v>12</v>
      </c>
      <c r="B52" s="65" t="s">
        <v>229</v>
      </c>
      <c r="C52" s="8">
        <v>2</v>
      </c>
      <c r="D52" s="52" t="s">
        <v>436</v>
      </c>
      <c r="E52" s="52" t="str">
        <f t="shared" si="162"/>
        <v>pitcwb0b</v>
      </c>
      <c r="F52" s="52" t="str">
        <f t="shared" si="163"/>
        <v>pitcap0b</v>
      </c>
      <c r="G52" s="9" t="s">
        <v>192</v>
      </c>
      <c r="H52" s="33" t="str">
        <f>VLOOKUP(G52,'Domain별 코드 체계'!$B$5:$J$29,7,0)</f>
        <v>MS71</v>
      </c>
      <c r="I52" s="126" t="s">
        <v>5</v>
      </c>
      <c r="J52" s="10" t="str">
        <f t="shared" si="168"/>
        <v>P-MS71-O</v>
      </c>
      <c r="K52" s="131" t="s">
        <v>88</v>
      </c>
      <c r="L52" s="141">
        <v>2</v>
      </c>
      <c r="M52" s="57" t="str">
        <f t="shared" si="169"/>
        <v>P-MS71-O-F22</v>
      </c>
      <c r="N52" s="158" t="str">
        <f>IF(K52="S",9,"8")&amp;VLOOKUP(H52,'WAS Domain'!$E$11:$I$26,3,0)&amp;VLOOKUP(H52,'WAS Domain'!$E$11:$I$26,4,0)&amp;IF(RIGHT(H52,1)="1",L52,RIGHT(H52,1))</f>
        <v>8252</v>
      </c>
      <c r="O52" s="158">
        <f t="shared" si="12"/>
        <v>8695</v>
      </c>
      <c r="P52" s="158" t="str">
        <f>VLOOKUP(H52,'WAS Domain'!$E$11:$I$26,2,0)&amp;VLOOKUP(H52,'WAS Domain'!$E$11:$I$26,3,0)&amp;VLOOKUP(H52,'WAS Domain'!$E$11:$I$26,4,0)&amp;VLOOKUP(H52,'WAS Domain'!$E$11:$I$26,5,0)&amp;IF(K52="A",0,IF(K52="F",L52,IF(LEFT(H52,3)="FWM",L52,9)))</f>
        <v>12512</v>
      </c>
      <c r="Q52" s="190">
        <f t="shared" si="164"/>
        <v>12441</v>
      </c>
      <c r="R52" s="190">
        <f t="shared" si="165"/>
        <v>14422</v>
      </c>
      <c r="S52" s="190">
        <f t="shared" si="15"/>
        <v>14431</v>
      </c>
      <c r="T52" s="190">
        <f t="shared" si="166"/>
        <v>4432</v>
      </c>
      <c r="U52" s="190">
        <f t="shared" si="134"/>
        <v>10431</v>
      </c>
      <c r="V52" s="190">
        <f t="shared" si="135"/>
        <v>12032</v>
      </c>
      <c r="W52" s="57" t="s">
        <v>303</v>
      </c>
      <c r="X52" s="57" t="str">
        <f t="shared" si="170"/>
        <v>P-MS71-O-A11</v>
      </c>
      <c r="Y52" s="57">
        <f t="shared" si="171"/>
        <v>2048</v>
      </c>
      <c r="Z52" s="57">
        <f t="shared" si="172"/>
        <v>768</v>
      </c>
      <c r="AA52" s="57">
        <f t="shared" si="173"/>
        <v>768</v>
      </c>
      <c r="AB52" s="57">
        <f t="shared" si="174"/>
        <v>512</v>
      </c>
      <c r="AC52" s="57">
        <f t="shared" si="175"/>
        <v>512</v>
      </c>
      <c r="AD52" s="65" t="s">
        <v>80</v>
      </c>
      <c r="AE52" s="143" t="str">
        <f t="shared" si="167"/>
        <v>/ms7/ms71/wasApp</v>
      </c>
      <c r="AF52" s="57" t="str">
        <f t="shared" si="176"/>
        <v>/log/jboss7/P-MS71-O/P-MS71-O-F22</v>
      </c>
      <c r="AG52" s="65" t="s">
        <v>86</v>
      </c>
      <c r="AH52" s="13" t="s">
        <v>87</v>
      </c>
      <c r="AI52" s="13">
        <v>9998</v>
      </c>
      <c r="AJ52" s="101"/>
    </row>
    <row r="53" spans="1:36" s="51" customFormat="1" ht="16.5" customHeight="1" x14ac:dyDescent="0.3">
      <c r="A53" s="100" t="s">
        <v>12</v>
      </c>
      <c r="B53" s="65" t="s">
        <v>225</v>
      </c>
      <c r="C53" s="8">
        <v>2</v>
      </c>
      <c r="D53" s="76" t="s">
        <v>439</v>
      </c>
      <c r="E53" s="52" t="str">
        <f>CONCATENATE(A53,"smw","wb0",C53)</f>
        <v>psmwwb02</v>
      </c>
      <c r="F53" s="52" t="str">
        <f t="shared" si="163"/>
        <v>pitcap0b</v>
      </c>
      <c r="G53" s="9" t="s">
        <v>297</v>
      </c>
      <c r="H53" s="33" t="str">
        <f>VLOOKUP(G53,'Domain별 코드 체계'!$B$5:$J$29,7,0)</f>
        <v>BIM1</v>
      </c>
      <c r="I53" s="127" t="s">
        <v>375</v>
      </c>
      <c r="J53" s="10" t="str">
        <f>CONCATENATE(UPPER(IF(A53="d","P",A53)),"-",H53,"-",I53)</f>
        <v>P-BIM1-O</v>
      </c>
      <c r="K53" s="131" t="s">
        <v>339</v>
      </c>
      <c r="L53" s="141">
        <v>1</v>
      </c>
      <c r="M53" s="57" t="str">
        <f>CONCATENATE(J53,"-",K53,C53,L53)</f>
        <v>P-BIM1-O-F21</v>
      </c>
      <c r="N53" s="59" t="str">
        <f>IF(K53="S",9,"8")&amp;VLOOKUP(H53,'WAS Domain'!$E$11:$I$26,3,0)&amp;VLOOKUP(H53,'WAS Domain'!$E$11:$I$26,4,0)&amp;IF(RIGHT(H53,1)="1",L53,RIGHT(H53,1))</f>
        <v>8411</v>
      </c>
      <c r="O53" s="59">
        <f>N53+443</f>
        <v>8854</v>
      </c>
      <c r="P53" s="59" t="str">
        <f>VLOOKUP(H53,'WAS Domain'!$E$11:$I$26,2,0)&amp;VLOOKUP(H53,'WAS Domain'!$E$11:$I$26,3,0)&amp;VLOOKUP(H53,'WAS Domain'!$E$11:$I$26,4,0)&amp;VLOOKUP(H53,'WAS Domain'!$E$11:$I$26,5,0)&amp;IF(K53="A",0,IF(K53="F",L53,IF(LEFT(H53,3)="FWM",L53,9)))</f>
        <v>14111</v>
      </c>
      <c r="Q53" s="59">
        <f>T53+8009</f>
        <v>13030</v>
      </c>
      <c r="R53" s="59">
        <f>T53+9990</f>
        <v>15011</v>
      </c>
      <c r="S53" s="59">
        <f>T53+9999</f>
        <v>15020</v>
      </c>
      <c r="T53" s="59">
        <f>P53-9090</f>
        <v>5021</v>
      </c>
      <c r="U53" s="58">
        <f t="shared" si="134"/>
        <v>11020</v>
      </c>
      <c r="V53" s="58">
        <f t="shared" si="135"/>
        <v>12621</v>
      </c>
      <c r="W53" s="57" t="s">
        <v>298</v>
      </c>
      <c r="X53" s="57" t="str">
        <f>IF(K53="A","",CONCATENATE(J53,"-A11"))</f>
        <v>P-BIM1-O-A11</v>
      </c>
      <c r="Y53" s="57">
        <f>IF(K53="A",512,IF(K53="F",2048,IF(K53="S",1024)))</f>
        <v>2048</v>
      </c>
      <c r="Z53" s="57">
        <f>IF(K53="A","",IF(K53="F",(Y53/16)*6,IF(K53="S",Y53/4)))</f>
        <v>768</v>
      </c>
      <c r="AA53" s="57">
        <f>Z53</f>
        <v>768</v>
      </c>
      <c r="AB53" s="57">
        <f>IF(K53="A","",IF(K53="F",(Y53/16)*4,IF(K53="S",Y53/4)))</f>
        <v>512</v>
      </c>
      <c r="AC53" s="57">
        <f>AB53</f>
        <v>512</v>
      </c>
      <c r="AD53" s="65" t="s">
        <v>80</v>
      </c>
      <c r="AE53" s="143" t="str">
        <f t="shared" si="167"/>
        <v>/bim/bim1/wasApp</v>
      </c>
      <c r="AF53" s="57" t="str">
        <f>CONCATENATE("/log/jboss7/",J53,"/",M53)</f>
        <v>/log/jboss7/P-BIM1-O/P-BIM1-O-F21</v>
      </c>
      <c r="AG53" s="65" t="s">
        <v>86</v>
      </c>
      <c r="AH53" s="13" t="s">
        <v>87</v>
      </c>
      <c r="AI53" s="13">
        <v>9998</v>
      </c>
      <c r="AJ53" s="101"/>
    </row>
    <row r="54" spans="1:36" s="51" customFormat="1" ht="16.5" customHeight="1" x14ac:dyDescent="0.3">
      <c r="A54" s="100" t="s">
        <v>12</v>
      </c>
      <c r="B54" s="65" t="s">
        <v>225</v>
      </c>
      <c r="C54" s="8">
        <v>2</v>
      </c>
      <c r="D54" s="76" t="s">
        <v>440</v>
      </c>
      <c r="E54" s="52" t="str">
        <f t="shared" ref="E54:E57" si="177">CONCATENATE(A54,"smw","wb0",C54)</f>
        <v>psmwwb02</v>
      </c>
      <c r="F54" s="52" t="str">
        <f t="shared" si="163"/>
        <v>pitcap0b</v>
      </c>
      <c r="G54" s="9" t="s">
        <v>212</v>
      </c>
      <c r="H54" s="33" t="str">
        <f>VLOOKUP(G54,'Domain별 코드 체계'!$B$5:$J$29,7,0)</f>
        <v>BIM1</v>
      </c>
      <c r="I54" s="127" t="s">
        <v>375</v>
      </c>
      <c r="J54" s="10" t="str">
        <f>CONCATENATE(UPPER(IF(A54="d","P",A54)),"-",H54,"-",I54)</f>
        <v>P-BIM1-O</v>
      </c>
      <c r="K54" s="131" t="s">
        <v>339</v>
      </c>
      <c r="L54" s="141">
        <v>2</v>
      </c>
      <c r="M54" s="57" t="str">
        <f>CONCATENATE(J54,"-",K54,C54,L54)</f>
        <v>P-BIM1-O-F22</v>
      </c>
      <c r="N54" s="158" t="str">
        <f>IF(K54="S",9,"8")&amp;VLOOKUP(H54,'WAS Domain'!$E$11:$I$26,3,0)&amp;VLOOKUP(H54,'WAS Domain'!$E$11:$I$26,4,0)&amp;IF(RIGHT(H54,1)="1",L54,RIGHT(H54,1))</f>
        <v>8412</v>
      </c>
      <c r="O54" s="158">
        <f>N54+443</f>
        <v>8855</v>
      </c>
      <c r="P54" s="158" t="str">
        <f>VLOOKUP(H54,'WAS Domain'!$E$11:$I$26,2,0)&amp;VLOOKUP(H54,'WAS Domain'!$E$11:$I$26,3,0)&amp;VLOOKUP(H54,'WAS Domain'!$E$11:$I$26,4,0)&amp;VLOOKUP(H54,'WAS Domain'!$E$11:$I$26,5,0)&amp;IF(K54="A",0,IF(K54="F",L54,IF(LEFT(H54,3)="FWM",L54,9)))</f>
        <v>14112</v>
      </c>
      <c r="Q54" s="158">
        <f>T54+8009</f>
        <v>13031</v>
      </c>
      <c r="R54" s="158">
        <f>T54+9990</f>
        <v>15012</v>
      </c>
      <c r="S54" s="158">
        <f>T54+9999</f>
        <v>15021</v>
      </c>
      <c r="T54" s="158">
        <f t="shared" ref="T54:T57" si="178">P54-9090</f>
        <v>5022</v>
      </c>
      <c r="U54" s="190">
        <f t="shared" si="134"/>
        <v>11021</v>
      </c>
      <c r="V54" s="190">
        <f t="shared" si="135"/>
        <v>12622</v>
      </c>
      <c r="W54" s="57" t="s">
        <v>299</v>
      </c>
      <c r="X54" s="57" t="str">
        <f>IF(K54="A","",CONCATENATE(J54,"-A11"))</f>
        <v>P-BIM1-O-A11</v>
      </c>
      <c r="Y54" s="57">
        <f>IF(K54="A",512,IF(K54="F",2048,IF(K54="S",1024)))</f>
        <v>2048</v>
      </c>
      <c r="Z54" s="57">
        <f>IF(K54="A","",IF(K54="F",(Y54/16)*6,IF(K54="S",Y54/4)))</f>
        <v>768</v>
      </c>
      <c r="AA54" s="57">
        <f>Z54</f>
        <v>768</v>
      </c>
      <c r="AB54" s="57">
        <f>IF(K54="A","",IF(K54="F",(Y54/16)*4,IF(K54="S",Y54/4)))</f>
        <v>512</v>
      </c>
      <c r="AC54" s="57">
        <f>AB54</f>
        <v>512</v>
      </c>
      <c r="AD54" s="65" t="s">
        <v>80</v>
      </c>
      <c r="AE54" s="143" t="str">
        <f t="shared" si="167"/>
        <v>/bim/bim1/wasApp</v>
      </c>
      <c r="AF54" s="57" t="str">
        <f>CONCATENATE("/log/jboss7/",J54,"/",M54)</f>
        <v>/log/jboss7/P-BIM1-O/P-BIM1-O-F22</v>
      </c>
      <c r="AG54" s="65" t="s">
        <v>86</v>
      </c>
      <c r="AH54" s="13" t="s">
        <v>87</v>
      </c>
      <c r="AI54" s="13">
        <v>9998</v>
      </c>
      <c r="AJ54" s="101"/>
    </row>
    <row r="55" spans="1:36" s="51" customFormat="1" ht="16.5" customHeight="1" x14ac:dyDescent="0.3">
      <c r="A55" s="100" t="s">
        <v>12</v>
      </c>
      <c r="B55" s="65" t="s">
        <v>231</v>
      </c>
      <c r="C55" s="8">
        <v>2</v>
      </c>
      <c r="D55" s="76" t="s">
        <v>439</v>
      </c>
      <c r="E55" s="52" t="str">
        <f t="shared" si="177"/>
        <v>psmwwb02</v>
      </c>
      <c r="F55" s="52" t="str">
        <f t="shared" si="163"/>
        <v>pitcap0b</v>
      </c>
      <c r="G55" s="9" t="s">
        <v>304</v>
      </c>
      <c r="H55" s="33" t="str">
        <f>VLOOKUP(G55,'Domain별 코드 체계'!$B$5:$J$29,7,0)</f>
        <v>WO11</v>
      </c>
      <c r="I55" s="127" t="s">
        <v>375</v>
      </c>
      <c r="J55" s="10" t="str">
        <f t="shared" si="168"/>
        <v>P-WO11-O</v>
      </c>
      <c r="K55" s="131" t="s">
        <v>339</v>
      </c>
      <c r="L55" s="141">
        <v>1</v>
      </c>
      <c r="M55" s="57" t="str">
        <f t="shared" si="169"/>
        <v>P-WO11-O-F21</v>
      </c>
      <c r="N55" s="59" t="str">
        <f>IF(K55="S",9,"8")&amp;VLOOKUP(H55,'WAS Domain'!$E$11:$I$26,3,0)&amp;VLOOKUP(H55,'WAS Domain'!$E$11:$I$26,4,0)&amp;IF(RIGHT(H55,1)="1",L55,RIGHT(H55,1))</f>
        <v>8421</v>
      </c>
      <c r="O55" s="59">
        <f t="shared" si="12"/>
        <v>8864</v>
      </c>
      <c r="P55" s="59" t="str">
        <f>VLOOKUP(H55,'WAS Domain'!$E$11:$I$26,2,0)&amp;VLOOKUP(H55,'WAS Domain'!$E$11:$I$26,3,0)&amp;VLOOKUP(H55,'WAS Domain'!$E$11:$I$26,4,0)&amp;VLOOKUP(H55,'WAS Domain'!$E$11:$I$26,5,0)&amp;IF(K55="A",0,IF(K55="F",L55,IF(LEFT(H55,3)="FWM",L55,9)))</f>
        <v>14211</v>
      </c>
      <c r="Q55" s="59">
        <f t="shared" si="164"/>
        <v>13130</v>
      </c>
      <c r="R55" s="59">
        <f t="shared" si="165"/>
        <v>15111</v>
      </c>
      <c r="S55" s="59">
        <f t="shared" si="15"/>
        <v>15120</v>
      </c>
      <c r="T55" s="59">
        <f t="shared" si="178"/>
        <v>5121</v>
      </c>
      <c r="U55" s="58">
        <f t="shared" si="134"/>
        <v>11120</v>
      </c>
      <c r="V55" s="58">
        <f t="shared" si="135"/>
        <v>12721</v>
      </c>
      <c r="W55" s="57" t="s">
        <v>305</v>
      </c>
      <c r="X55" s="57" t="str">
        <f t="shared" si="170"/>
        <v>P-WO11-O-A11</v>
      </c>
      <c r="Y55" s="57">
        <f t="shared" si="171"/>
        <v>2048</v>
      </c>
      <c r="Z55" s="57">
        <f t="shared" si="172"/>
        <v>768</v>
      </c>
      <c r="AA55" s="57">
        <f t="shared" si="173"/>
        <v>768</v>
      </c>
      <c r="AB55" s="57">
        <f t="shared" si="174"/>
        <v>512</v>
      </c>
      <c r="AC55" s="57">
        <f t="shared" si="175"/>
        <v>512</v>
      </c>
      <c r="AD55" s="65" t="s">
        <v>80</v>
      </c>
      <c r="AE55" s="143" t="str">
        <f t="shared" si="167"/>
        <v>/wo1/wo11/wasApp</v>
      </c>
      <c r="AF55" s="57" t="str">
        <f t="shared" si="176"/>
        <v>/log/jboss7/P-WO11-O/P-WO11-O-F21</v>
      </c>
      <c r="AG55" s="65" t="s">
        <v>86</v>
      </c>
      <c r="AH55" s="13" t="s">
        <v>87</v>
      </c>
      <c r="AI55" s="13">
        <v>9998</v>
      </c>
      <c r="AJ55" s="101"/>
    </row>
    <row r="56" spans="1:36" s="51" customFormat="1" ht="16.5" customHeight="1" x14ac:dyDescent="0.3">
      <c r="A56" s="100" t="s">
        <v>12</v>
      </c>
      <c r="B56" s="65" t="s">
        <v>231</v>
      </c>
      <c r="C56" s="8">
        <v>2</v>
      </c>
      <c r="D56" s="76" t="s">
        <v>439</v>
      </c>
      <c r="E56" s="52" t="str">
        <f t="shared" si="177"/>
        <v>psmwwb02</v>
      </c>
      <c r="F56" s="52" t="str">
        <f t="shared" si="163"/>
        <v>pitcap0b</v>
      </c>
      <c r="G56" s="9" t="s">
        <v>290</v>
      </c>
      <c r="H56" s="33" t="str">
        <f>VLOOKUP(G56,'Domain별 코드 체계'!$B$5:$J$29,7,0)</f>
        <v>WO12</v>
      </c>
      <c r="I56" s="127" t="s">
        <v>375</v>
      </c>
      <c r="J56" s="10" t="str">
        <f t="shared" si="168"/>
        <v>P-WO12-O</v>
      </c>
      <c r="K56" s="131" t="s">
        <v>377</v>
      </c>
      <c r="L56" s="141">
        <v>1</v>
      </c>
      <c r="M56" s="57" t="str">
        <f t="shared" si="169"/>
        <v>P-WO12-O-S21</v>
      </c>
      <c r="N56" s="59" t="str">
        <f>IF(K56="S",9,"8")&amp;VLOOKUP(H56,'WAS Domain'!$E$11:$I$26,3,0)&amp;VLOOKUP(H56,'WAS Domain'!$E$11:$I$26,4,0)&amp;IF(RIGHT(H56,1)="1",L56,RIGHT(H56,1))</f>
        <v>9422</v>
      </c>
      <c r="O56" s="59">
        <f t="shared" si="12"/>
        <v>9865</v>
      </c>
      <c r="P56" s="59" t="str">
        <f>VLOOKUP(H56,'WAS Domain'!$E$11:$I$26,2,0)&amp;VLOOKUP(H56,'WAS Domain'!$E$11:$I$26,3,0)&amp;VLOOKUP(H56,'WAS Domain'!$E$11:$I$26,4,0)&amp;VLOOKUP(H56,'WAS Domain'!$E$11:$I$26,5,0)&amp;IF(K56="A",0,IF(K56="F",L56,IF(LEFT(H56,3)="FWM",L56,9)))</f>
        <v>14229</v>
      </c>
      <c r="Q56" s="59">
        <f t="shared" si="164"/>
        <v>13148</v>
      </c>
      <c r="R56" s="59">
        <f t="shared" si="165"/>
        <v>15129</v>
      </c>
      <c r="S56" s="59">
        <f t="shared" si="15"/>
        <v>15138</v>
      </c>
      <c r="T56" s="59">
        <f t="shared" si="178"/>
        <v>5139</v>
      </c>
      <c r="U56" s="58">
        <f t="shared" si="134"/>
        <v>11138</v>
      </c>
      <c r="V56" s="58">
        <f t="shared" si="135"/>
        <v>12739</v>
      </c>
      <c r="W56" s="57" t="s">
        <v>306</v>
      </c>
      <c r="X56" s="57" t="str">
        <f t="shared" si="170"/>
        <v>P-WO12-O-A11</v>
      </c>
      <c r="Y56" s="57">
        <f t="shared" si="171"/>
        <v>1024</v>
      </c>
      <c r="Z56" s="57">
        <f t="shared" si="172"/>
        <v>256</v>
      </c>
      <c r="AA56" s="57">
        <f t="shared" si="173"/>
        <v>256</v>
      </c>
      <c r="AB56" s="57">
        <f t="shared" si="174"/>
        <v>256</v>
      </c>
      <c r="AC56" s="57">
        <f t="shared" si="175"/>
        <v>256</v>
      </c>
      <c r="AD56" s="65" t="s">
        <v>80</v>
      </c>
      <c r="AE56" s="143" t="str">
        <f t="shared" si="167"/>
        <v>/wo1/wo12/wasApp</v>
      </c>
      <c r="AF56" s="57" t="str">
        <f t="shared" si="176"/>
        <v>/log/jboss7/P-WO12-O/P-WO12-O-S21</v>
      </c>
      <c r="AG56" s="65" t="s">
        <v>86</v>
      </c>
      <c r="AH56" s="13" t="s">
        <v>87</v>
      </c>
      <c r="AI56" s="13">
        <v>9998</v>
      </c>
      <c r="AJ56" s="101"/>
    </row>
    <row r="57" spans="1:36" s="51" customFormat="1" ht="16.5" customHeight="1" thickBot="1" x14ac:dyDescent="0.35">
      <c r="A57" s="102" t="s">
        <v>12</v>
      </c>
      <c r="B57" s="108" t="s">
        <v>231</v>
      </c>
      <c r="C57" s="103">
        <v>2</v>
      </c>
      <c r="D57" s="76" t="s">
        <v>439</v>
      </c>
      <c r="E57" s="52" t="str">
        <f t="shared" si="177"/>
        <v>psmwwb02</v>
      </c>
      <c r="F57" s="52" t="str">
        <f t="shared" si="163"/>
        <v>pitcap0b</v>
      </c>
      <c r="G57" s="105" t="s">
        <v>291</v>
      </c>
      <c r="H57" s="106" t="str">
        <f>VLOOKUP(G57,'Domain별 코드 체계'!$B$5:$J$29,7,0)</f>
        <v>WO13</v>
      </c>
      <c r="I57" s="129" t="s">
        <v>375</v>
      </c>
      <c r="J57" s="107" t="str">
        <f t="shared" si="168"/>
        <v>P-WO13-O</v>
      </c>
      <c r="K57" s="132" t="s">
        <v>377</v>
      </c>
      <c r="L57" s="79">
        <v>1</v>
      </c>
      <c r="M57" s="109" t="str">
        <f t="shared" si="169"/>
        <v>P-WO13-O-S21</v>
      </c>
      <c r="N57" s="118" t="str">
        <f>IF(K57="S",9,"8")&amp;VLOOKUP(H57,'WAS Domain'!$E$11:$I$26,3,0)&amp;VLOOKUP(H57,'WAS Domain'!$E$11:$I$26,4,0)&amp;IF(RIGHT(H57,1)="1",L57,RIGHT(H57,1))</f>
        <v>9423</v>
      </c>
      <c r="O57" s="118">
        <f t="shared" si="12"/>
        <v>9866</v>
      </c>
      <c r="P57" s="118" t="str">
        <f>VLOOKUP(H57,'WAS Domain'!$E$11:$I$26,2,0)&amp;VLOOKUP(H57,'WAS Domain'!$E$11:$I$26,3,0)&amp;VLOOKUP(H57,'WAS Domain'!$E$11:$I$26,4,0)&amp;VLOOKUP(H57,'WAS Domain'!$E$11:$I$26,5,0)&amp;IF(K57="A",0,IF(K57="F",L57,IF(LEFT(H57,3)="FWM",L57,9)))</f>
        <v>14239</v>
      </c>
      <c r="Q57" s="118">
        <f t="shared" si="164"/>
        <v>13158</v>
      </c>
      <c r="R57" s="118">
        <f t="shared" si="165"/>
        <v>15139</v>
      </c>
      <c r="S57" s="118">
        <f t="shared" si="15"/>
        <v>15148</v>
      </c>
      <c r="T57" s="59">
        <f t="shared" si="178"/>
        <v>5149</v>
      </c>
      <c r="U57" s="58">
        <f t="shared" si="134"/>
        <v>11148</v>
      </c>
      <c r="V57" s="58">
        <f t="shared" si="135"/>
        <v>12749</v>
      </c>
      <c r="W57" s="109" t="s">
        <v>307</v>
      </c>
      <c r="X57" s="109" t="str">
        <f t="shared" si="170"/>
        <v>P-WO13-O-A11</v>
      </c>
      <c r="Y57" s="109">
        <f t="shared" si="171"/>
        <v>1024</v>
      </c>
      <c r="Z57" s="109">
        <f t="shared" si="172"/>
        <v>256</v>
      </c>
      <c r="AA57" s="109">
        <f t="shared" si="173"/>
        <v>256</v>
      </c>
      <c r="AB57" s="109">
        <f t="shared" si="174"/>
        <v>256</v>
      </c>
      <c r="AC57" s="109">
        <f t="shared" si="175"/>
        <v>256</v>
      </c>
      <c r="AD57" s="108" t="s">
        <v>80</v>
      </c>
      <c r="AE57" s="109" t="str">
        <f>CONCATENATE("/",LOWER(B57),"/",LOWER(LEFT(H57,4)),"/wasApp")</f>
        <v>/wo1/wo13/wasApp</v>
      </c>
      <c r="AF57" s="109" t="str">
        <f t="shared" si="176"/>
        <v>/log/jboss7/P-WO13-O/P-WO13-O-S21</v>
      </c>
      <c r="AG57" s="108" t="s">
        <v>86</v>
      </c>
      <c r="AH57" s="111" t="s">
        <v>87</v>
      </c>
      <c r="AI57" s="111">
        <v>9998</v>
      </c>
      <c r="AJ57" s="112"/>
    </row>
    <row r="58" spans="1:36" s="74" customFormat="1" ht="4.5" customHeight="1" thickBot="1" x14ac:dyDescent="0.35">
      <c r="A58" s="83"/>
      <c r="B58" s="83"/>
      <c r="C58" s="83"/>
      <c r="D58" s="84"/>
      <c r="E58" s="84"/>
      <c r="F58" s="84"/>
      <c r="G58" s="85"/>
      <c r="H58" s="86"/>
      <c r="I58" s="84"/>
      <c r="J58" s="83"/>
      <c r="K58" s="83"/>
      <c r="L58" s="83"/>
      <c r="M58" s="84"/>
      <c r="N58" s="87"/>
      <c r="O58" s="87"/>
      <c r="P58" s="87"/>
      <c r="Q58" s="87"/>
      <c r="R58" s="87"/>
      <c r="S58" s="87"/>
      <c r="T58" s="87"/>
      <c r="U58" s="87"/>
      <c r="V58" s="58">
        <f t="shared" si="135"/>
        <v>7600</v>
      </c>
      <c r="W58" s="84"/>
      <c r="X58" s="84"/>
      <c r="Y58" s="84"/>
      <c r="Z58" s="84"/>
      <c r="AA58" s="84"/>
      <c r="AB58" s="84"/>
      <c r="AC58" s="84"/>
      <c r="AD58" s="83"/>
      <c r="AE58" s="84"/>
      <c r="AF58" s="84"/>
      <c r="AG58" s="83"/>
      <c r="AH58" s="88"/>
      <c r="AI58" s="88"/>
      <c r="AJ58" s="84"/>
    </row>
    <row r="59" spans="1:36" s="51" customFormat="1" ht="16.5" customHeight="1" x14ac:dyDescent="0.3">
      <c r="A59" s="89" t="s">
        <v>12</v>
      </c>
      <c r="B59" s="90" t="s">
        <v>313</v>
      </c>
      <c r="C59" s="90">
        <v>1</v>
      </c>
      <c r="D59" s="91" t="s">
        <v>441</v>
      </c>
      <c r="E59" s="91" t="str">
        <f>CONCATENATE(A59,"int","wb0",IF(C59=1,"a","b"))</f>
        <v>pintwb0a</v>
      </c>
      <c r="F59" s="91" t="str">
        <f>CONCATENATE(A59,"int","ap0",IF(C59=1,"a","b"))</f>
        <v>pintap0a</v>
      </c>
      <c r="G59" s="92" t="s">
        <v>196</v>
      </c>
      <c r="H59" s="93" t="str">
        <f>VLOOKUP(G59,'Domain별 코드 체계'!$B$5:$J$29,7,0)</f>
        <v>PS91</v>
      </c>
      <c r="I59" s="128" t="s">
        <v>375</v>
      </c>
      <c r="J59" s="94" t="str">
        <f t="shared" ref="J59" si="179">CONCATENATE(UPPER(IF(A59="d","P",A59)),"-",H59,"-",I59)</f>
        <v>P-PS91-O</v>
      </c>
      <c r="K59" s="133" t="s">
        <v>378</v>
      </c>
      <c r="L59" s="95">
        <v>1</v>
      </c>
      <c r="M59" s="96" t="str">
        <f>CONCATENATE(J59,"-",K59,C59,L59)</f>
        <v>P-PS91-O-F11</v>
      </c>
      <c r="N59" s="95" t="str">
        <f>IF(K59="S",9, "8")&amp;VLOOKUP(H59,'WAS Domain'!$E$11:$I$26,3,0)&amp;VLOOKUP(H59,'WAS Domain'!$E$11:$I$26,4,0)&amp;IF(RIGHT(H59,1)="1",L59,RIGHT(H59,1))</f>
        <v>8311</v>
      </c>
      <c r="O59" s="95">
        <f t="shared" si="12"/>
        <v>8754</v>
      </c>
      <c r="P59" s="95" t="str">
        <f>VLOOKUP(H59,'WAS Domain'!$E$11:$I$26,2,0)&amp;VLOOKUP(H59,'WAS Domain'!$E$11:$I$26,3,0)&amp;VLOOKUP(H59,'WAS Domain'!$E$11:$I$26,4,0)&amp;VLOOKUP(H59,'WAS Domain'!$E$11:$I$26,5,0)&amp;IF(K59="A",0,IF(K59="F",L59,IF(LEFT(H59,3)="FWM",L59,9)))</f>
        <v>13111</v>
      </c>
      <c r="Q59" s="97">
        <f t="shared" ref="Q59:Q61" si="180">T59+8009</f>
        <v>13040</v>
      </c>
      <c r="R59" s="97">
        <f t="shared" ref="R59:R61" si="181">T59+9990</f>
        <v>15021</v>
      </c>
      <c r="S59" s="97">
        <f t="shared" si="15"/>
        <v>15030</v>
      </c>
      <c r="T59" s="97">
        <f t="shared" ref="T59:T61" si="182">P59-8080</f>
        <v>5031</v>
      </c>
      <c r="U59" s="97"/>
      <c r="V59" s="97"/>
      <c r="W59" s="96" t="s">
        <v>309</v>
      </c>
      <c r="X59" s="96" t="str">
        <f>IF(K59="A","",CONCATENATE(J59,"-A11"))</f>
        <v>P-PS91-O-A11</v>
      </c>
      <c r="Y59" s="96">
        <f>IF(K59="A",512,IF(K59="F",2048,IF(K59="S",1024)))</f>
        <v>2048</v>
      </c>
      <c r="Z59" s="96">
        <f>IF(K59="A","",IF(K59="F",(Y59/16)*6,IF(K59="S",Y59/4)))</f>
        <v>768</v>
      </c>
      <c r="AA59" s="96">
        <f>Z59</f>
        <v>768</v>
      </c>
      <c r="AB59" s="96">
        <f>IF(K59="A","",IF(K59="F",(Y59/16)*4,IF(K59="S",Y59/4)))</f>
        <v>512</v>
      </c>
      <c r="AC59" s="96">
        <f>AB59</f>
        <v>512</v>
      </c>
      <c r="AD59" s="95" t="s">
        <v>80</v>
      </c>
      <c r="AE59" s="57" t="str">
        <f>CONCATENATE("/",LOWER(B59),"/",LOWER(LEFT(H59,4)),"/wasApp")</f>
        <v>/ps9/ps91/wasApp</v>
      </c>
      <c r="AF59" s="96" t="str">
        <f>CONCATENATE("/log/jboss7/",J59,"/",M59)</f>
        <v>/log/jboss7/P-PS91-O/P-PS91-O-F11</v>
      </c>
      <c r="AG59" s="95" t="s">
        <v>86</v>
      </c>
      <c r="AH59" s="98" t="s">
        <v>87</v>
      </c>
      <c r="AI59" s="98">
        <v>9998</v>
      </c>
      <c r="AJ59" s="99"/>
    </row>
    <row r="60" spans="1:36" s="51" customFormat="1" ht="16.5" customHeight="1" thickBot="1" x14ac:dyDescent="0.35">
      <c r="A60" s="102" t="s">
        <v>12</v>
      </c>
      <c r="B60" s="103" t="s">
        <v>381</v>
      </c>
      <c r="C60" s="103">
        <v>1</v>
      </c>
      <c r="D60" s="104" t="s">
        <v>441</v>
      </c>
      <c r="E60" s="52" t="str">
        <f t="shared" ref="E60:E62" si="183">CONCATENATE(A60,"int","wb0",IF(C60=1,"a","b"))</f>
        <v>pintwb0a</v>
      </c>
      <c r="F60" s="52" t="str">
        <f t="shared" ref="F60:F61" si="184">CONCATENATE(A60,"int","ap0",IF(C60=1,"a","b"))</f>
        <v>pintap0a</v>
      </c>
      <c r="G60" s="105" t="s">
        <v>320</v>
      </c>
      <c r="H60" s="106" t="str">
        <f>VLOOKUP(G60,'Domain별 코드 체계'!$B$5:$J$29,7,0)</f>
        <v>VMS1</v>
      </c>
      <c r="I60" s="129" t="s">
        <v>318</v>
      </c>
      <c r="J60" s="107" t="str">
        <f t="shared" ref="J60:J61" si="185">CONCATENATE(UPPER(IF(A60="d","P",A60)),"-",H60,"-",I60)</f>
        <v>P-VMS1-O</v>
      </c>
      <c r="K60" s="134" t="s">
        <v>319</v>
      </c>
      <c r="L60" s="108">
        <v>1</v>
      </c>
      <c r="M60" s="109" t="str">
        <f t="shared" ref="M60" si="186">CONCATENATE(J60,"-",K60,C60,L60)</f>
        <v>P-VMS1-O-F11</v>
      </c>
      <c r="N60" s="59" t="str">
        <f>IF(K60="S",9, "8")&amp;VLOOKUP(H60,'WAS Domain'!$E$11:$I$26,3,0)&amp;VLOOKUP(H60,'WAS Domain'!$E$11:$I$26,4,0)&amp;IF(RIGHT(H60,1)="1",L60,RIGHT(H60,1))</f>
        <v>8321</v>
      </c>
      <c r="O60" s="59">
        <f t="shared" si="12"/>
        <v>8764</v>
      </c>
      <c r="P60" s="118" t="str">
        <f>VLOOKUP(H60,'WAS Domain'!$E$11:$I$26,2,0)&amp;VLOOKUP(H60,'WAS Domain'!$E$11:$I$26,3,0)&amp;VLOOKUP(H60,'WAS Domain'!$E$11:$I$26,4,0)&amp;VLOOKUP(H60,'WAS Domain'!$E$11:$I$26,5,0)&amp;IF(K60="A",0,IF(K60="F",L60,IF(LEFT(H60,3)="FWM",L60,9)))</f>
        <v>13211</v>
      </c>
      <c r="Q60" s="110">
        <f t="shared" si="180"/>
        <v>13140</v>
      </c>
      <c r="R60" s="110">
        <f t="shared" si="181"/>
        <v>15121</v>
      </c>
      <c r="S60" s="110">
        <f t="shared" si="15"/>
        <v>15130</v>
      </c>
      <c r="T60" s="110">
        <f t="shared" si="182"/>
        <v>5131</v>
      </c>
      <c r="U60" s="110"/>
      <c r="V60" s="110"/>
      <c r="W60" s="109" t="s">
        <v>317</v>
      </c>
      <c r="X60" s="109" t="str">
        <f>IF(K60="A","",CONCATENATE(J60,"-A11"))</f>
        <v>P-VMS1-O-A11</v>
      </c>
      <c r="Y60" s="109">
        <f>IF(K60="A",512,IF(K60="F",2048,IF(K60="S",1024)))</f>
        <v>2048</v>
      </c>
      <c r="Z60" s="109">
        <f>IF(K60="A","",IF(K60="F",(Y60/16)*6,IF(K60="S",Y60/4)))</f>
        <v>768</v>
      </c>
      <c r="AA60" s="109">
        <f>Z60</f>
        <v>768</v>
      </c>
      <c r="AB60" s="109">
        <f>IF(K60="A","",IF(K60="F",(Y60/16)*4,IF(K60="S",Y60/4)))</f>
        <v>512</v>
      </c>
      <c r="AC60" s="109">
        <f>AB60</f>
        <v>512</v>
      </c>
      <c r="AD60" s="108" t="s">
        <v>80</v>
      </c>
      <c r="AE60" s="109" t="str">
        <f>CONCATENATE("/",LOWER(B60),"/",LOWER(LEFT(H60,4)),"/wasApp")</f>
        <v>/vms/vms1/wasApp</v>
      </c>
      <c r="AF60" s="109" t="str">
        <f>CONCATENATE("/log/jboss7/",J60,"/",M60)</f>
        <v>/log/jboss7/P-VMS1-O/P-VMS1-O-F11</v>
      </c>
      <c r="AG60" s="108" t="s">
        <v>86</v>
      </c>
      <c r="AH60" s="111" t="s">
        <v>87</v>
      </c>
      <c r="AI60" s="111">
        <v>9998</v>
      </c>
      <c r="AJ60" s="112"/>
    </row>
    <row r="61" spans="1:36" s="51" customFormat="1" ht="16.5" customHeight="1" x14ac:dyDescent="0.3">
      <c r="A61" s="89" t="s">
        <v>352</v>
      </c>
      <c r="B61" s="90" t="s">
        <v>353</v>
      </c>
      <c r="C61" s="90">
        <v>2</v>
      </c>
      <c r="D61" s="91" t="s">
        <v>442</v>
      </c>
      <c r="E61" s="91" t="str">
        <f t="shared" si="183"/>
        <v>pintwb0b</v>
      </c>
      <c r="F61" s="91" t="str">
        <f t="shared" si="184"/>
        <v>pintap0b</v>
      </c>
      <c r="G61" s="92" t="s">
        <v>196</v>
      </c>
      <c r="H61" s="93" t="str">
        <f>VLOOKUP(G61,'Domain별 코드 체계'!$B$5:$J$29,7,0)</f>
        <v>PS91</v>
      </c>
      <c r="I61" s="128" t="s">
        <v>375</v>
      </c>
      <c r="J61" s="94" t="str">
        <f t="shared" si="185"/>
        <v>P-PS91-O</v>
      </c>
      <c r="K61" s="133" t="s">
        <v>378</v>
      </c>
      <c r="L61" s="95">
        <v>1</v>
      </c>
      <c r="M61" s="96" t="str">
        <f>CONCATENATE(J61,"-",K61,C61,L61)</f>
        <v>P-PS91-O-F21</v>
      </c>
      <c r="N61" s="95" t="str">
        <f>IF(K61="S",9, "8")&amp;VLOOKUP(H61,'WAS Domain'!$E$11:$I$26,3,0)&amp;VLOOKUP(H61,'WAS Domain'!$E$11:$I$26,4,0)&amp;IF(RIGHT(H61,1)="1",L61,RIGHT(H61,1))</f>
        <v>8311</v>
      </c>
      <c r="O61" s="95">
        <f t="shared" si="12"/>
        <v>8754</v>
      </c>
      <c r="P61" s="151" t="str">
        <f>VLOOKUP(H61,'WAS Domain'!$E$11:$I$26,2,0)&amp;VLOOKUP(H61,'WAS Domain'!$E$11:$I$26,3,0)&amp;VLOOKUP(H61,'WAS Domain'!$E$11:$I$26,4,0)&amp;VLOOKUP(H61,'WAS Domain'!$E$11:$I$26,5,0)&amp;IF(K61="A",0,IF(K61="F",L61,IF(LEFT(H61,3)="FWM",L61,9)))</f>
        <v>13111</v>
      </c>
      <c r="Q61" s="97">
        <f t="shared" si="180"/>
        <v>13040</v>
      </c>
      <c r="R61" s="97">
        <f t="shared" si="181"/>
        <v>15021</v>
      </c>
      <c r="S61" s="97">
        <f t="shared" si="15"/>
        <v>15030</v>
      </c>
      <c r="T61" s="97">
        <f t="shared" si="182"/>
        <v>5031</v>
      </c>
      <c r="U61" s="97"/>
      <c r="V61" s="97"/>
      <c r="W61" s="96" t="s">
        <v>309</v>
      </c>
      <c r="X61" s="96" t="str">
        <f>IF(K61="A","",CONCATENATE(J61,"-A11"))</f>
        <v>P-PS91-O-A11</v>
      </c>
      <c r="Y61" s="96">
        <f>IF(K61="A",512,IF(K61="F",2048,IF(K61="S",1024)))</f>
        <v>2048</v>
      </c>
      <c r="Z61" s="96">
        <f>IF(K61="A","",IF(K61="F",(Y61/16)*6,IF(K61="S",Y61/4)))</f>
        <v>768</v>
      </c>
      <c r="AA61" s="96">
        <f>Z61</f>
        <v>768</v>
      </c>
      <c r="AB61" s="96">
        <f>IF(K61="A","",IF(K61="F",(Y61/16)*4,IF(K61="S",Y61/4)))</f>
        <v>512</v>
      </c>
      <c r="AC61" s="96">
        <f>AB61</f>
        <v>512</v>
      </c>
      <c r="AD61" s="95" t="s">
        <v>80</v>
      </c>
      <c r="AE61" s="143" t="str">
        <f>CONCATENATE("/",LOWER(B61),"/",LOWER(LEFT(H61,4)),"/wasApp")</f>
        <v>/ps9/ps91/wasApp</v>
      </c>
      <c r="AF61" s="96" t="str">
        <f>CONCATENATE("/log/jboss7/",J61,"/",M61)</f>
        <v>/log/jboss7/P-PS91-O/P-PS91-O-F21</v>
      </c>
      <c r="AG61" s="95" t="s">
        <v>86</v>
      </c>
      <c r="AH61" s="98" t="s">
        <v>87</v>
      </c>
      <c r="AI61" s="98">
        <v>9998</v>
      </c>
      <c r="AJ61" s="99"/>
    </row>
    <row r="62" spans="1:36" s="51" customFormat="1" ht="16.5" customHeight="1" thickBot="1" x14ac:dyDescent="0.35">
      <c r="A62" s="102" t="s">
        <v>12</v>
      </c>
      <c r="B62" s="108" t="s">
        <v>362</v>
      </c>
      <c r="C62" s="103">
        <v>2</v>
      </c>
      <c r="D62" s="104" t="s">
        <v>443</v>
      </c>
      <c r="E62" s="118" t="str">
        <f t="shared" si="183"/>
        <v>pintwb0b</v>
      </c>
      <c r="F62" s="118" t="str">
        <f>CONCATENATE(A62,"int","ap0",IF(C62=1,"a","b"))</f>
        <v>pintap0b</v>
      </c>
      <c r="G62" s="105" t="s">
        <v>320</v>
      </c>
      <c r="H62" s="106" t="str">
        <f>VLOOKUP(G62,'Domain별 코드 체계'!$B$5:$J$29,7,0)</f>
        <v>VMS1</v>
      </c>
      <c r="I62" s="129" t="s">
        <v>318</v>
      </c>
      <c r="J62" s="107" t="str">
        <f t="shared" ref="J62" si="187">CONCATENATE(UPPER(IF(A62="d","P",A62)),"-",H62,"-",I62)</f>
        <v>P-VMS1-O</v>
      </c>
      <c r="K62" s="134" t="s">
        <v>319</v>
      </c>
      <c r="L62" s="108">
        <v>1</v>
      </c>
      <c r="M62" s="109" t="str">
        <f t="shared" ref="M62" si="188">CONCATENATE(J62,"-",K62,C62,L62)</f>
        <v>P-VMS1-O-F21</v>
      </c>
      <c r="N62" s="108" t="str">
        <f>IF(K62="S",9, "8")&amp;VLOOKUP(H62,'WAS Domain'!$E$11:$I$26,3,0)&amp;VLOOKUP(H62,'WAS Domain'!$E$11:$I$26,4,0)&amp;IF(RIGHT(H62,1)="1",L62,RIGHT(H62,1))</f>
        <v>8321</v>
      </c>
      <c r="O62" s="108">
        <f t="shared" si="12"/>
        <v>8764</v>
      </c>
      <c r="P62" s="118" t="str">
        <f>VLOOKUP(H62,'WAS Domain'!$E$11:$I$26,2,0)&amp;VLOOKUP(H62,'WAS Domain'!$E$11:$I$26,3,0)&amp;VLOOKUP(H62,'WAS Domain'!$E$11:$I$26,4,0)&amp;VLOOKUP(H62,'WAS Domain'!$E$11:$I$26,5,0)&amp;IF(K62="A",0,IF(K62="F",L62,IF(LEFT(H62,3)="FWM",L62,9)))</f>
        <v>13211</v>
      </c>
      <c r="Q62" s="110">
        <f t="shared" ref="Q62" si="189">T62+8009</f>
        <v>13140</v>
      </c>
      <c r="R62" s="110">
        <f t="shared" ref="R62" si="190">T62+9990</f>
        <v>15121</v>
      </c>
      <c r="S62" s="110">
        <f t="shared" si="15"/>
        <v>15130</v>
      </c>
      <c r="T62" s="110">
        <f t="shared" ref="T62" si="191">P62-8080</f>
        <v>5131</v>
      </c>
      <c r="U62" s="110"/>
      <c r="V62" s="110"/>
      <c r="W62" s="109" t="s">
        <v>317</v>
      </c>
      <c r="X62" s="109" t="str">
        <f>IF(K62="A","",CONCATENATE(J62,"-A11"))</f>
        <v>P-VMS1-O-A11</v>
      </c>
      <c r="Y62" s="109">
        <f>IF(K62="A",512,IF(K62="F",2048,IF(K62="S",1024)))</f>
        <v>2048</v>
      </c>
      <c r="Z62" s="109">
        <f>IF(K62="A","",IF(K62="F",(Y62/16)*6,IF(K62="S",Y62/4)))</f>
        <v>768</v>
      </c>
      <c r="AA62" s="109">
        <f>Z62</f>
        <v>768</v>
      </c>
      <c r="AB62" s="109">
        <f>IF(K62="A","",IF(K62="F",(Y62/16)*4,IF(K62="S",Y62/4)))</f>
        <v>512</v>
      </c>
      <c r="AC62" s="109">
        <f>AB62</f>
        <v>512</v>
      </c>
      <c r="AD62" s="108" t="s">
        <v>80</v>
      </c>
      <c r="AE62" s="80" t="str">
        <f>CONCATENATE("/",LOWER(B62),"/",LOWER(LEFT(H62,4)),"/wasApp")</f>
        <v>/vms/vms1/wasApp</v>
      </c>
      <c r="AF62" s="109" t="str">
        <f>CONCATENATE("/log/jboss7/",J62,"/",M62)</f>
        <v>/log/jboss7/P-VMS1-O/P-VMS1-O-F21</v>
      </c>
      <c r="AG62" s="108" t="s">
        <v>86</v>
      </c>
      <c r="AH62" s="111" t="s">
        <v>87</v>
      </c>
      <c r="AI62" s="111">
        <v>9998</v>
      </c>
      <c r="AJ62" s="112"/>
    </row>
    <row r="63" spans="1:36" s="51" customFormat="1" ht="6" customHeight="1" x14ac:dyDescent="0.3">
      <c r="A63" s="121" t="s">
        <v>48</v>
      </c>
      <c r="B63" s="83"/>
      <c r="C63" s="83"/>
      <c r="D63" s="84"/>
      <c r="E63" s="84"/>
      <c r="F63" s="84"/>
      <c r="G63" s="84"/>
      <c r="H63" s="84"/>
      <c r="I63" s="84"/>
      <c r="J63" s="84"/>
      <c r="K63" s="83"/>
      <c r="L63" s="83"/>
      <c r="M63" s="84"/>
      <c r="N63" s="84"/>
      <c r="O63" s="84">
        <f t="shared" si="12"/>
        <v>443</v>
      </c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</row>
    <row r="64" spans="1:36" s="51" customFormat="1" ht="16.5" customHeight="1" x14ac:dyDescent="0.3">
      <c r="A64" s="8" t="s">
        <v>40</v>
      </c>
      <c r="B64" s="8" t="s">
        <v>392</v>
      </c>
      <c r="C64" s="8">
        <v>1</v>
      </c>
      <c r="D64" s="52" t="s">
        <v>421</v>
      </c>
      <c r="E64" s="52" t="str">
        <f>CONCATENATE(A64,"ico","wb0",C64)</f>
        <v>ticowb01</v>
      </c>
      <c r="F64" s="52" t="str">
        <f>CONCATENATE(A64,"ico","ap0",C64)</f>
        <v>ticoap01</v>
      </c>
      <c r="G64" s="9" t="s">
        <v>413</v>
      </c>
      <c r="H64" s="33" t="str">
        <f>VLOOKUP(G64,'Domain별 코드 체계'!$B$5:$J$29,7,0)</f>
        <v>SV11</v>
      </c>
      <c r="I64" s="126" t="s">
        <v>5</v>
      </c>
      <c r="J64" s="10" t="str">
        <f t="shared" ref="J64:J83" si="192">CONCATENATE(UPPER(IF(A64="d","P",A64)),"-",H64,"-",I64)</f>
        <v>T-SV11-O</v>
      </c>
      <c r="K64" s="135" t="s">
        <v>344</v>
      </c>
      <c r="L64" s="12">
        <v>1</v>
      </c>
      <c r="M64" s="57" t="str">
        <f t="shared" ref="M64:M83" si="193">CONCATENATE(J64,"-",K64,C64,L64)</f>
        <v>T-SV11-O-F11</v>
      </c>
      <c r="N64" s="59" t="str">
        <f>IF(K64="S",9, "8")&amp;VLOOKUP(H64,'WAS Domain'!$E$11:$I$27,3,0)&amp;VLOOKUP(H64,'WAS Domain'!$E$11:$I$27,4,0)&amp;IF(RIGHT(H64,1)="1",L64,RIGHT(H64,1))</f>
        <v>8111</v>
      </c>
      <c r="O64" s="59">
        <f t="shared" si="12"/>
        <v>8554</v>
      </c>
      <c r="P64" s="59" t="str">
        <f>VLOOKUP(H64,'WAS Domain'!$E$11:$I$26,2,0)&amp;VLOOKUP(H64,'WAS Domain'!$E$11:$I$26,3,0)&amp;VLOOKUP(H64,'WAS Domain'!$E$11:$I$26,4,0)&amp;VLOOKUP(H64,'WAS Domain'!$E$11:$I$26,5,0)&amp;IF(K64="A",0,IF(K64="F",L64,IF(LEFT(H64,3)="FWM",L64,9)))</f>
        <v>11111</v>
      </c>
      <c r="Q64" s="59">
        <f t="shared" ref="Q64:Q98" si="194">T64+8009</f>
        <v>11040</v>
      </c>
      <c r="R64" s="59">
        <f t="shared" ref="R64:R98" si="195">T64+9990</f>
        <v>13021</v>
      </c>
      <c r="S64" s="59">
        <f t="shared" si="15"/>
        <v>13030</v>
      </c>
      <c r="T64" s="59">
        <f t="shared" ref="T64:T98" si="196">P64-8080</f>
        <v>3031</v>
      </c>
      <c r="U64" s="58">
        <f>T64+5999</f>
        <v>9030</v>
      </c>
      <c r="V64" s="58">
        <f>7600+T64</f>
        <v>10631</v>
      </c>
      <c r="W64" s="57" t="s">
        <v>279</v>
      </c>
      <c r="X64" s="57" t="str">
        <f t="shared" ref="X64:X69" si="197">IF(K64="A","",CONCATENATE(J64,"-A11"))</f>
        <v>T-SV11-O-A11</v>
      </c>
      <c r="Y64" s="57">
        <f t="shared" ref="Y64:Y66" si="198">IF(K64="A",512,IF(K64="F",2048,IF(K64="S",1024)))</f>
        <v>2048</v>
      </c>
      <c r="Z64" s="57">
        <f t="shared" ref="Z64:Z66" si="199">IF(K64="A","",IF(K64="F",(Y64/16)*6,IF(K64="S",Y64/4)))</f>
        <v>768</v>
      </c>
      <c r="AA64" s="57">
        <f t="shared" ref="AA64:AA66" si="200">Z64</f>
        <v>768</v>
      </c>
      <c r="AB64" s="57">
        <f t="shared" ref="AB64:AB66" si="201">IF(K64="A","",IF(K64="F",(Y64/16)*4,IF(K64="S",Y64/4)))</f>
        <v>512</v>
      </c>
      <c r="AC64" s="57">
        <f t="shared" ref="AC64:AC66" si="202">AB64</f>
        <v>512</v>
      </c>
      <c r="AD64" s="65" t="s">
        <v>80</v>
      </c>
      <c r="AE64" s="57" t="str">
        <f>CONCATENATE("/",LOWER(B64),"/",LOWER(LEFT(H64,4)),"/wasApp")</f>
        <v>/sv1/sv11/wasApp</v>
      </c>
      <c r="AF64" s="57" t="str">
        <f t="shared" ref="AF64:AF66" si="203">CONCATENATE("/log/jboss7/",J64,"/",M64)</f>
        <v>/log/jboss7/T-SV11-O/T-SV11-O-F11</v>
      </c>
      <c r="AG64" s="57"/>
      <c r="AH64" s="57"/>
      <c r="AI64" s="57"/>
      <c r="AJ64" s="57"/>
    </row>
    <row r="65" spans="1:36" s="51" customFormat="1" ht="16.5" customHeight="1" x14ac:dyDescent="0.3">
      <c r="A65" s="8" t="s">
        <v>40</v>
      </c>
      <c r="B65" s="8" t="s">
        <v>392</v>
      </c>
      <c r="C65" s="8">
        <v>1</v>
      </c>
      <c r="D65" s="52" t="s">
        <v>422</v>
      </c>
      <c r="E65" s="52" t="str">
        <f t="shared" ref="E65:E83" si="204">CONCATENATE(A65,"ico","wb0",C65)</f>
        <v>ticowb01</v>
      </c>
      <c r="F65" s="52" t="str">
        <f t="shared" ref="F65:F83" si="205">CONCATENATE(A65,"ico","ap0",C65)</f>
        <v>ticoap01</v>
      </c>
      <c r="G65" s="9" t="s">
        <v>407</v>
      </c>
      <c r="H65" s="33" t="str">
        <f>VLOOKUP(G65,'Domain별 코드 체계'!$B$5:$J$29,7,0)</f>
        <v>SV12</v>
      </c>
      <c r="I65" s="126" t="s">
        <v>5</v>
      </c>
      <c r="J65" s="10" t="str">
        <f t="shared" si="192"/>
        <v>T-SV12-O</v>
      </c>
      <c r="K65" s="135" t="s">
        <v>377</v>
      </c>
      <c r="L65" s="12">
        <v>1</v>
      </c>
      <c r="M65" s="57" t="str">
        <f t="shared" si="193"/>
        <v>T-SV12-O-S11</v>
      </c>
      <c r="N65" s="158" t="str">
        <f>IF(K65="S",9, "8")&amp;VLOOKUP(H65,'WAS Domain'!$E$11:$I$27,3,0)&amp;VLOOKUP(H65,'WAS Domain'!$E$11:$I$27,4,0)&amp;IF(RIGHT(H65,1)="1",L65,RIGHT(H65,1))</f>
        <v>9112</v>
      </c>
      <c r="O65" s="158">
        <f t="shared" si="12"/>
        <v>9555</v>
      </c>
      <c r="P65" s="59" t="str">
        <f>VLOOKUP(H65,'WAS Domain'!$E$11:$I$26,2,0)&amp;VLOOKUP(H65,'WAS Domain'!$E$11:$I$26,3,0)&amp;VLOOKUP(H65,'WAS Domain'!$E$11:$I$26,4,0)&amp;VLOOKUP(H65,'WAS Domain'!$E$11:$I$26,5,0)&amp;IF(K65="A",0,IF(K65="F",L65,IF(LEFT(H65,3)="FWM",L65,9)))</f>
        <v>11129</v>
      </c>
      <c r="Q65" s="58">
        <f t="shared" si="194"/>
        <v>11058</v>
      </c>
      <c r="R65" s="58">
        <f t="shared" si="195"/>
        <v>13039</v>
      </c>
      <c r="S65" s="58">
        <f t="shared" si="15"/>
        <v>13048</v>
      </c>
      <c r="T65" s="58">
        <f t="shared" si="196"/>
        <v>3049</v>
      </c>
      <c r="U65" s="58">
        <f t="shared" ref="U65:U83" si="206">T65+5999</f>
        <v>9048</v>
      </c>
      <c r="V65" s="58">
        <f t="shared" ref="V65:V83" si="207">7600+T65</f>
        <v>10649</v>
      </c>
      <c r="W65" s="57" t="s">
        <v>281</v>
      </c>
      <c r="X65" s="57" t="str">
        <f t="shared" si="197"/>
        <v>T-SV12-O-A11</v>
      </c>
      <c r="Y65" s="57">
        <f t="shared" si="198"/>
        <v>1024</v>
      </c>
      <c r="Z65" s="57">
        <f t="shared" si="199"/>
        <v>256</v>
      </c>
      <c r="AA65" s="57">
        <f t="shared" si="200"/>
        <v>256</v>
      </c>
      <c r="AB65" s="57">
        <f t="shared" si="201"/>
        <v>256</v>
      </c>
      <c r="AC65" s="57">
        <f t="shared" si="202"/>
        <v>256</v>
      </c>
      <c r="AD65" s="65" t="s">
        <v>80</v>
      </c>
      <c r="AE65" s="57" t="str">
        <f t="shared" ref="AE65:AE82" si="208">CONCATENATE("/",LOWER(B65),"/",LOWER(LEFT(H65,4)),"/wasApp")</f>
        <v>/sv1/sv12/wasApp</v>
      </c>
      <c r="AF65" s="57" t="str">
        <f t="shared" si="203"/>
        <v>/log/jboss7/T-SV12-O/T-SV12-O-S11</v>
      </c>
      <c r="AG65" s="57"/>
      <c r="AH65" s="57"/>
      <c r="AI65" s="57"/>
      <c r="AJ65" s="57"/>
    </row>
    <row r="66" spans="1:36" s="51" customFormat="1" ht="16.5" customHeight="1" x14ac:dyDescent="0.3">
      <c r="A66" s="8" t="s">
        <v>40</v>
      </c>
      <c r="B66" s="8" t="s">
        <v>392</v>
      </c>
      <c r="C66" s="8">
        <v>1</v>
      </c>
      <c r="D66" s="52" t="s">
        <v>422</v>
      </c>
      <c r="E66" s="52" t="str">
        <f t="shared" si="204"/>
        <v>ticowb01</v>
      </c>
      <c r="F66" s="52" t="str">
        <f t="shared" si="205"/>
        <v>ticoap01</v>
      </c>
      <c r="G66" s="9" t="s">
        <v>412</v>
      </c>
      <c r="H66" s="33" t="str">
        <f>VLOOKUP(G66,'Domain별 코드 체계'!$B$5:$J$29,7,0)</f>
        <v>SV13</v>
      </c>
      <c r="I66" s="126" t="s">
        <v>5</v>
      </c>
      <c r="J66" s="10" t="str">
        <f t="shared" si="192"/>
        <v>T-SV13-O</v>
      </c>
      <c r="K66" s="135" t="s">
        <v>344</v>
      </c>
      <c r="L66" s="12">
        <v>1</v>
      </c>
      <c r="M66" s="57" t="str">
        <f t="shared" si="193"/>
        <v>T-SV13-O-F11</v>
      </c>
      <c r="N66" s="59" t="str">
        <f>IF(K66="S",9, "8")&amp;VLOOKUP(H66,'WAS Domain'!$E$11:$I$27,3,0)&amp;VLOOKUP(H66,'WAS Domain'!$E$11:$I$27,4,0)&amp;IF(RIGHT(H66,1)="1",L66,RIGHT(H66,1))</f>
        <v>8113</v>
      </c>
      <c r="O66" s="59">
        <v>8443</v>
      </c>
      <c r="P66" s="59" t="str">
        <f>VLOOKUP(H66,'WAS Domain'!$E$11:$I$26,2,0)&amp;VLOOKUP(H66,'WAS Domain'!$E$11:$I$26,3,0)&amp;VLOOKUP(H66,'WAS Domain'!$E$11:$I$26,4,0)&amp;VLOOKUP(H66,'WAS Domain'!$E$11:$I$26,5,0)&amp;IF(K66="A",0,IF(K66="F",L66,IF(LEFT(H66,3)="FWM",L66,9)))</f>
        <v>11131</v>
      </c>
      <c r="Q66" s="58">
        <f t="shared" si="194"/>
        <v>11060</v>
      </c>
      <c r="R66" s="58">
        <f t="shared" si="195"/>
        <v>13041</v>
      </c>
      <c r="S66" s="58">
        <f t="shared" si="15"/>
        <v>13050</v>
      </c>
      <c r="T66" s="58">
        <f t="shared" si="196"/>
        <v>3051</v>
      </c>
      <c r="U66" s="58">
        <f t="shared" si="206"/>
        <v>9050</v>
      </c>
      <c r="V66" s="58">
        <f t="shared" si="207"/>
        <v>10651</v>
      </c>
      <c r="W66" s="57" t="s">
        <v>282</v>
      </c>
      <c r="X66" s="57" t="str">
        <f t="shared" si="197"/>
        <v>T-SV13-O-A11</v>
      </c>
      <c r="Y66" s="57">
        <f t="shared" si="198"/>
        <v>2048</v>
      </c>
      <c r="Z66" s="57">
        <f t="shared" si="199"/>
        <v>768</v>
      </c>
      <c r="AA66" s="57">
        <f t="shared" si="200"/>
        <v>768</v>
      </c>
      <c r="AB66" s="57">
        <f t="shared" si="201"/>
        <v>512</v>
      </c>
      <c r="AC66" s="57">
        <f t="shared" si="202"/>
        <v>512</v>
      </c>
      <c r="AD66" s="65" t="s">
        <v>80</v>
      </c>
      <c r="AE66" s="57" t="str">
        <f t="shared" si="208"/>
        <v>/sv1/sv13/wasApp</v>
      </c>
      <c r="AF66" s="57" t="str">
        <f t="shared" si="203"/>
        <v>/log/jboss7/T-SV13-O/T-SV13-O-F11</v>
      </c>
      <c r="AG66" s="12"/>
      <c r="AH66" s="13"/>
      <c r="AI66" s="13"/>
      <c r="AJ66" s="57"/>
    </row>
    <row r="67" spans="1:36" s="51" customFormat="1" ht="16.5" customHeight="1" x14ac:dyDescent="0.3">
      <c r="A67" s="28" t="s">
        <v>40</v>
      </c>
      <c r="B67" s="8" t="s">
        <v>392</v>
      </c>
      <c r="C67" s="28">
        <v>1</v>
      </c>
      <c r="D67" s="52" t="s">
        <v>422</v>
      </c>
      <c r="E67" s="52" t="str">
        <f t="shared" si="204"/>
        <v>ticowb01</v>
      </c>
      <c r="F67" s="52" t="str">
        <f t="shared" si="205"/>
        <v>ticoap01</v>
      </c>
      <c r="G67" s="9" t="s">
        <v>414</v>
      </c>
      <c r="H67" s="33" t="str">
        <f>VLOOKUP(G67,'Domain별 코드 체계'!$B$5:$J$29,7,0)</f>
        <v>SV14</v>
      </c>
      <c r="I67" s="126" t="s">
        <v>376</v>
      </c>
      <c r="J67" s="10" t="str">
        <f t="shared" si="192"/>
        <v>T-SV14-O</v>
      </c>
      <c r="K67" s="135" t="s">
        <v>308</v>
      </c>
      <c r="L67" s="140">
        <v>1</v>
      </c>
      <c r="M67" s="57" t="str">
        <f t="shared" si="193"/>
        <v>T-SV14-O-S11</v>
      </c>
      <c r="N67" s="59" t="str">
        <f>IF(K67="S",9, "8")&amp;VLOOKUP(H67,'WAS Domain'!$E$11:$I$27,3,0)&amp;VLOOKUP(H67,'WAS Domain'!$E$11:$I$27,4,0)&amp;IF(RIGHT(H67,1)="1",L67,RIGHT(H67,1))</f>
        <v>9114</v>
      </c>
      <c r="O67" s="59">
        <f t="shared" si="12"/>
        <v>9557</v>
      </c>
      <c r="P67" s="59" t="str">
        <f>VLOOKUP(H67,'WAS Domain'!$E$11:$I$26,2,0)&amp;VLOOKUP(H67,'WAS Domain'!$E$11:$I$26,3,0)&amp;VLOOKUP(H67,'WAS Domain'!$E$11:$I$26,4,0)&amp;VLOOKUP(H67,'WAS Domain'!$E$11:$I$26,5,0)&amp;IF(K67="A",0,IF(K67="F",L67,IF(LEFT(H67,3)="FWM",L67,9)))</f>
        <v>11149</v>
      </c>
      <c r="Q67" s="59">
        <f t="shared" si="194"/>
        <v>11078</v>
      </c>
      <c r="R67" s="59">
        <f t="shared" si="195"/>
        <v>13059</v>
      </c>
      <c r="S67" s="59">
        <f t="shared" si="15"/>
        <v>13068</v>
      </c>
      <c r="T67" s="59">
        <f t="shared" si="196"/>
        <v>3069</v>
      </c>
      <c r="U67" s="58">
        <f t="shared" si="206"/>
        <v>9068</v>
      </c>
      <c r="V67" s="58">
        <f t="shared" si="207"/>
        <v>10669</v>
      </c>
      <c r="W67" s="57" t="s">
        <v>283</v>
      </c>
      <c r="X67" s="57" t="str">
        <f t="shared" si="197"/>
        <v>T-SV14-O-A11</v>
      </c>
      <c r="Y67" s="57">
        <f>IF(K67="A",512,IF(K67="F",2048,IF(K67="S",1024)))</f>
        <v>1024</v>
      </c>
      <c r="Z67" s="57">
        <f>IF(K67="A","",IF(K67="F",(Y67/16)*6,IF(K67="S",Y67/4)))</f>
        <v>256</v>
      </c>
      <c r="AA67" s="57">
        <f t="shared" ref="AA67:AA83" si="209">Z67</f>
        <v>256</v>
      </c>
      <c r="AB67" s="57">
        <f>IF(K67="A","",IF(K67="F",(Y67/16)*4,IF(K67="S",Y67/4)))</f>
        <v>256</v>
      </c>
      <c r="AC67" s="57">
        <f t="shared" ref="AC67:AC83" si="210">AB67</f>
        <v>256</v>
      </c>
      <c r="AD67" s="140" t="s">
        <v>80</v>
      </c>
      <c r="AE67" s="57" t="str">
        <f t="shared" si="208"/>
        <v>/sv1/sv14/wasApp</v>
      </c>
      <c r="AF67" s="57" t="str">
        <f>CONCATENATE("/log/jboss7/",J67,"/",M67)</f>
        <v>/log/jboss7/T-SV14-O/T-SV14-O-S11</v>
      </c>
      <c r="AG67" s="57"/>
      <c r="AH67" s="57"/>
      <c r="AI67" s="57"/>
      <c r="AJ67" s="57"/>
    </row>
    <row r="68" spans="1:36" s="51" customFormat="1" ht="16.5" customHeight="1" x14ac:dyDescent="0.3">
      <c r="A68" s="28" t="s">
        <v>40</v>
      </c>
      <c r="B68" s="8" t="s">
        <v>392</v>
      </c>
      <c r="C68" s="28">
        <v>1</v>
      </c>
      <c r="D68" s="52" t="s">
        <v>421</v>
      </c>
      <c r="E68" s="52" t="str">
        <f t="shared" ref="E68" si="211">CONCATENATE(A68,"ico","wb0",C68)</f>
        <v>ticowb01</v>
      </c>
      <c r="F68" s="52" t="str">
        <f t="shared" ref="F68" si="212">CONCATENATE(A68,"ico","ap0",C68)</f>
        <v>ticoap01</v>
      </c>
      <c r="G68" s="261" t="s">
        <v>483</v>
      </c>
      <c r="H68" s="33" t="str">
        <f>VLOOKUP(G68,'Domain별 코드 체계'!$B$5:$J$29,7,0)</f>
        <v>SV15</v>
      </c>
      <c r="I68" s="126" t="s">
        <v>376</v>
      </c>
      <c r="J68" s="10" t="str">
        <f t="shared" ref="J68" si="213">CONCATENATE(UPPER(IF(A68="d","P",A68)),"-",H68,"-",I68)</f>
        <v>T-SV15-O</v>
      </c>
      <c r="K68" s="135" t="s">
        <v>88</v>
      </c>
      <c r="L68" s="204">
        <v>1</v>
      </c>
      <c r="M68" s="57" t="str">
        <f t="shared" ref="M68" si="214">CONCATENATE(J68,"-",K68,C68,L68)</f>
        <v>T-SV15-O-F11</v>
      </c>
      <c r="N68" s="158" t="str">
        <f>IF(K68="S",9, "8")&amp;VLOOKUP(H68,'WAS Domain'!$E$11:$I$27,3,0)&amp;VLOOKUP(H68,'WAS Domain'!$E$11:$I$27,4,0)&amp;IF(RIGHT(H68,1)="1",L68,RIGHT(H68,1))</f>
        <v>8115</v>
      </c>
      <c r="O68" s="158">
        <f t="shared" ref="O68" si="215">N68+443</f>
        <v>8558</v>
      </c>
      <c r="P68" s="158" t="str">
        <f>VLOOKUP(H68,'WAS Domain'!$E$11:$I$26,2,0)&amp;VLOOKUP(H68,'WAS Domain'!$E$11:$I$26,3,0)&amp;VLOOKUP(H68,'WAS Domain'!$E$11:$I$26,4,0)&amp;VLOOKUP(H68,'WAS Domain'!$E$11:$I$26,5,0)&amp;IF(K68="A",0,IF(K68="F",L68,IF(LEFT(H68,3)="FWM",L68,9)))</f>
        <v>11151</v>
      </c>
      <c r="Q68" s="158">
        <f t="shared" ref="Q68" si="216">T68+8009</f>
        <v>11080</v>
      </c>
      <c r="R68" s="158">
        <f t="shared" ref="R68" si="217">T68+9990</f>
        <v>13061</v>
      </c>
      <c r="S68" s="158">
        <f t="shared" ref="S68" si="218">T68+9999</f>
        <v>13070</v>
      </c>
      <c r="T68" s="158">
        <f t="shared" ref="T68" si="219">P68-8080</f>
        <v>3071</v>
      </c>
      <c r="U68" s="158">
        <f t="shared" ref="U68" si="220">T68+5999</f>
        <v>9070</v>
      </c>
      <c r="V68" s="158">
        <f t="shared" ref="V68" si="221">7600+T68</f>
        <v>10671</v>
      </c>
      <c r="W68" s="57" t="s">
        <v>283</v>
      </c>
      <c r="X68" s="57" t="str">
        <f t="shared" ref="X68" si="222">IF(K68="A","",CONCATENATE(J68,"-A11"))</f>
        <v>T-SV15-O-A11</v>
      </c>
      <c r="Y68" s="57">
        <f>IF(K68="A",512,IF(K68="F",2048,IF(K68="S",1024)))</f>
        <v>2048</v>
      </c>
      <c r="Z68" s="57">
        <f>IF(K68="A","",IF(K68="F",(Y68/16)*6,IF(K68="S",Y68/4)))</f>
        <v>768</v>
      </c>
      <c r="AA68" s="57">
        <f t="shared" ref="AA68" si="223">Z68</f>
        <v>768</v>
      </c>
      <c r="AB68" s="57">
        <f>IF(K68="A","",IF(K68="F",(Y68/16)*4,IF(K68="S",Y68/4)))</f>
        <v>512</v>
      </c>
      <c r="AC68" s="57">
        <f t="shared" ref="AC68" si="224">AB68</f>
        <v>512</v>
      </c>
      <c r="AD68" s="204" t="s">
        <v>80</v>
      </c>
      <c r="AE68" s="57" t="str">
        <f t="shared" si="208"/>
        <v>/sv1/sv15/wasApp</v>
      </c>
      <c r="AF68" s="57" t="str">
        <f>CONCATENATE("/log/jboss7/",J68,"/",M68)</f>
        <v>/log/jboss7/T-SV15-O/T-SV15-O-F11</v>
      </c>
      <c r="AG68" s="57"/>
      <c r="AH68" s="57"/>
      <c r="AI68" s="57"/>
      <c r="AJ68" s="57"/>
    </row>
    <row r="69" spans="1:36" s="51" customFormat="1" ht="16.5" customHeight="1" x14ac:dyDescent="0.3">
      <c r="A69" s="28" t="s">
        <v>40</v>
      </c>
      <c r="B69" s="65" t="s">
        <v>222</v>
      </c>
      <c r="C69" s="28">
        <v>1</v>
      </c>
      <c r="D69" s="52" t="s">
        <v>422</v>
      </c>
      <c r="E69" s="52" t="str">
        <f t="shared" si="204"/>
        <v>ticowb01</v>
      </c>
      <c r="F69" s="52" t="str">
        <f t="shared" si="205"/>
        <v>ticoap01</v>
      </c>
      <c r="G69" s="146" t="s">
        <v>324</v>
      </c>
      <c r="H69" s="147" t="str">
        <f>VLOOKUP(G69,'Domain별 코드 체계'!$B$5:$J$29,7,0)</f>
        <v>BE11</v>
      </c>
      <c r="I69" s="130" t="s">
        <v>343</v>
      </c>
      <c r="J69" s="148" t="str">
        <f t="shared" si="192"/>
        <v>T-BE11-O</v>
      </c>
      <c r="K69" s="149" t="s">
        <v>344</v>
      </c>
      <c r="L69" s="150">
        <v>1</v>
      </c>
      <c r="M69" s="143" t="str">
        <f t="shared" si="193"/>
        <v>T-BE11-O-F11</v>
      </c>
      <c r="N69" s="59" t="str">
        <f>IF(K69="S",9, "8")&amp;VLOOKUP(H69,'WAS Domain'!$E$11:$I$27,3,0)&amp;VLOOKUP(H69,'WAS Domain'!$E$11:$I$27,4,0)&amp;IF(RIGHT(H69,1)="1",L69,RIGHT(H69,1))</f>
        <v>8231</v>
      </c>
      <c r="O69" s="59">
        <f t="shared" si="12"/>
        <v>8674</v>
      </c>
      <c r="P69" s="59" t="str">
        <f>VLOOKUP(H69,'WAS Domain'!$E$11:$I$26,2,0)&amp;VLOOKUP(H69,'WAS Domain'!$E$11:$I$26,3,0)&amp;VLOOKUP(H69,'WAS Domain'!$E$11:$I$26,4,0)&amp;VLOOKUP(H69,'WAS Domain'!$E$11:$I$26,5,0)&amp;IF(K69="A",0,IF(K69="F",L69,IF(LEFT(H69,3)="FWM",L69,9)))</f>
        <v>12311</v>
      </c>
      <c r="Q69" s="145">
        <f t="shared" si="194"/>
        <v>12240</v>
      </c>
      <c r="R69" s="145">
        <f t="shared" si="195"/>
        <v>14221</v>
      </c>
      <c r="S69" s="145">
        <f t="shared" si="15"/>
        <v>14230</v>
      </c>
      <c r="T69" s="145">
        <f t="shared" si="196"/>
        <v>4231</v>
      </c>
      <c r="U69" s="58">
        <f t="shared" si="206"/>
        <v>10230</v>
      </c>
      <c r="V69" s="58">
        <f t="shared" si="207"/>
        <v>11831</v>
      </c>
      <c r="W69" s="143" t="s">
        <v>293</v>
      </c>
      <c r="X69" s="143" t="str">
        <f t="shared" si="197"/>
        <v>T-BE11-O-A11</v>
      </c>
      <c r="Y69" s="143">
        <f>IF(K69="A",512,IF(K69="F",2048,IF(K69="S",1024)))</f>
        <v>2048</v>
      </c>
      <c r="Z69" s="143">
        <f>IF(K69="A","",IF(K69="F",(Y69/16)*6,IF(K69="S",Y69/4)))</f>
        <v>768</v>
      </c>
      <c r="AA69" s="143">
        <f t="shared" si="209"/>
        <v>768</v>
      </c>
      <c r="AB69" s="143">
        <f>IF(K69="A","",IF(K69="F",(Y69/16)*4,IF(K69="S",Y69/4)))</f>
        <v>512</v>
      </c>
      <c r="AC69" s="143">
        <f t="shared" si="210"/>
        <v>512</v>
      </c>
      <c r="AD69" s="150" t="s">
        <v>80</v>
      </c>
      <c r="AE69" s="57" t="str">
        <f t="shared" si="208"/>
        <v>/be1/be11/wasApp</v>
      </c>
      <c r="AF69" s="57" t="str">
        <f>CONCATENATE("/log/jboss7/",J69,"/",M69)</f>
        <v>/log/jboss7/T-BE11-O/T-BE11-O-F11</v>
      </c>
      <c r="AG69" s="57"/>
      <c r="AH69" s="57"/>
      <c r="AI69" s="57"/>
      <c r="AJ69" s="57"/>
    </row>
    <row r="70" spans="1:36" s="51" customFormat="1" ht="16.5" customHeight="1" x14ac:dyDescent="0.3">
      <c r="A70" s="8" t="s">
        <v>40</v>
      </c>
      <c r="B70" s="8" t="s">
        <v>236</v>
      </c>
      <c r="C70" s="8">
        <v>1</v>
      </c>
      <c r="D70" s="52" t="s">
        <v>422</v>
      </c>
      <c r="E70" s="52" t="str">
        <f t="shared" si="204"/>
        <v>ticowb01</v>
      </c>
      <c r="F70" s="52" t="str">
        <f t="shared" ref="F70" si="225">CONCATENATE(A70,"ico","ap0",C70)</f>
        <v>ticoap01</v>
      </c>
      <c r="G70" s="9" t="s">
        <v>325</v>
      </c>
      <c r="H70" s="33" t="str">
        <f>VLOOKUP(G70,'Domain별 코드 체계'!$B$5:$J$29,7,0)</f>
        <v>PQ11</v>
      </c>
      <c r="I70" s="126" t="s">
        <v>5</v>
      </c>
      <c r="J70" s="10" t="str">
        <f t="shared" ref="J70" si="226">CONCATENATE(UPPER(IF(A70="d","P",A70)),"-",H70,"-",I70)</f>
        <v>T-PQ11-O</v>
      </c>
      <c r="K70" s="135" t="s">
        <v>344</v>
      </c>
      <c r="L70" s="65">
        <v>1</v>
      </c>
      <c r="M70" s="57" t="str">
        <f t="shared" ref="M70" si="227">CONCATENATE(J70,"-",K70,C70,L70)</f>
        <v>T-PQ11-O-F11</v>
      </c>
      <c r="N70" s="59" t="str">
        <f>IF(K70="S",9, "8")&amp;VLOOKUP(H70,'WAS Domain'!$E$11:$I$27,3,0)&amp;VLOOKUP(H70,'WAS Domain'!$E$11:$I$27,4,0)&amp;IF(RIGHT(H70,1)="1",L70,RIGHT(H70,1))</f>
        <v>8221</v>
      </c>
      <c r="O70" s="59">
        <f t="shared" si="12"/>
        <v>8664</v>
      </c>
      <c r="P70" s="59" t="str">
        <f>VLOOKUP(H70,'WAS Domain'!$E$11:$I$26,2,0)&amp;VLOOKUP(H70,'WAS Domain'!$E$11:$I$26,3,0)&amp;VLOOKUP(H70,'WAS Domain'!$E$11:$I$26,4,0)&amp;VLOOKUP(H70,'WAS Domain'!$E$11:$I$26,5,0)&amp;IF(K70="A",0,IF(K70="F",L70,IF(LEFT(H70,3)="FWM",L70,9)))</f>
        <v>12211</v>
      </c>
      <c r="Q70" s="58">
        <f t="shared" si="194"/>
        <v>12140</v>
      </c>
      <c r="R70" s="58">
        <f t="shared" si="195"/>
        <v>14121</v>
      </c>
      <c r="S70" s="58">
        <f t="shared" si="15"/>
        <v>14130</v>
      </c>
      <c r="T70" s="58">
        <f t="shared" si="196"/>
        <v>4131</v>
      </c>
      <c r="U70" s="58">
        <f t="shared" si="206"/>
        <v>10130</v>
      </c>
      <c r="V70" s="58">
        <f t="shared" si="207"/>
        <v>11731</v>
      </c>
      <c r="W70" s="57" t="s">
        <v>340</v>
      </c>
      <c r="X70" s="57" t="str">
        <f t="shared" ref="X70" si="228">IF(K70="A","",CONCATENATE(J70,"-A11"))</f>
        <v>T-PQ11-O-A11</v>
      </c>
      <c r="Y70" s="57">
        <f t="shared" ref="Y70" si="229">IF(K70="A",512,IF(K70="F",2048,IF(K70="S",1024)))</f>
        <v>2048</v>
      </c>
      <c r="Z70" s="57">
        <f t="shared" ref="Z70" si="230">IF(K70="A","",IF(K70="F",(Y70/16)*6,IF(K70="S",Y70/4)))</f>
        <v>768</v>
      </c>
      <c r="AA70" s="57">
        <f t="shared" ref="AA70" si="231">Z70</f>
        <v>768</v>
      </c>
      <c r="AB70" s="57">
        <f t="shared" ref="AB70" si="232">IF(K70="A","",IF(K70="F",(Y70/16)*4,IF(K70="S",Y70/4)))</f>
        <v>512</v>
      </c>
      <c r="AC70" s="57">
        <f t="shared" ref="AC70" si="233">AB70</f>
        <v>512</v>
      </c>
      <c r="AD70" s="65" t="s">
        <v>80</v>
      </c>
      <c r="AE70" s="57" t="str">
        <f t="shared" si="208"/>
        <v>/pq1/pq11/wasApp</v>
      </c>
      <c r="AF70" s="57" t="str">
        <f>CONCATENATE("/log/jboss7/",J70,"/",M70)</f>
        <v>/log/jboss7/T-PQ11-O/T-PQ11-O-F11</v>
      </c>
      <c r="AG70" s="57"/>
      <c r="AH70" s="57"/>
      <c r="AI70" s="57"/>
      <c r="AJ70" s="57"/>
    </row>
    <row r="71" spans="1:36" s="51" customFormat="1" ht="16.5" customHeight="1" x14ac:dyDescent="0.3">
      <c r="A71" s="8" t="s">
        <v>40</v>
      </c>
      <c r="B71" s="8" t="s">
        <v>236</v>
      </c>
      <c r="C71" s="8">
        <v>1</v>
      </c>
      <c r="D71" s="52" t="s">
        <v>422</v>
      </c>
      <c r="E71" s="52" t="str">
        <f t="shared" si="204"/>
        <v>ticowb01</v>
      </c>
      <c r="F71" s="52" t="str">
        <f t="shared" si="205"/>
        <v>ticoap01</v>
      </c>
      <c r="G71" s="9" t="s">
        <v>325</v>
      </c>
      <c r="H71" s="33" t="str">
        <f>VLOOKUP(G71,'Domain별 코드 체계'!$B$5:$J$29,7,0)</f>
        <v>PQ11</v>
      </c>
      <c r="I71" s="126" t="s">
        <v>5</v>
      </c>
      <c r="J71" s="10" t="str">
        <f t="shared" si="192"/>
        <v>T-PQ11-O</v>
      </c>
      <c r="K71" s="135" t="s">
        <v>377</v>
      </c>
      <c r="L71" s="12">
        <v>1</v>
      </c>
      <c r="M71" s="57" t="str">
        <f t="shared" si="193"/>
        <v>T-PQ11-O-S11</v>
      </c>
      <c r="N71" s="59" t="str">
        <f>IF(K71="S",9, "8")&amp;VLOOKUP(H71,'WAS Domain'!$E$11:$I$27,3,0)&amp;VLOOKUP(H71,'WAS Domain'!$E$11:$I$27,4,0)&amp;IF(RIGHT(H71,1)="1",L71,RIGHT(H71,1))</f>
        <v>9221</v>
      </c>
      <c r="O71" s="59">
        <f t="shared" si="12"/>
        <v>9664</v>
      </c>
      <c r="P71" s="59" t="str">
        <f>VLOOKUP(H71,'WAS Domain'!$E$11:$I$26,2,0)&amp;VLOOKUP(H71,'WAS Domain'!$E$11:$I$26,3,0)&amp;VLOOKUP(H71,'WAS Domain'!$E$11:$I$26,4,0)&amp;VLOOKUP(H71,'WAS Domain'!$E$11:$I$26,5,0)&amp;IF(K71="A",0,IF(K71="F",L71,IF(LEFT(H71,3)="FWM",L71,9)))</f>
        <v>12219</v>
      </c>
      <c r="Q71" s="58">
        <f t="shared" si="194"/>
        <v>12148</v>
      </c>
      <c r="R71" s="58">
        <f t="shared" si="195"/>
        <v>14129</v>
      </c>
      <c r="S71" s="58">
        <f t="shared" si="15"/>
        <v>14138</v>
      </c>
      <c r="T71" s="58">
        <f t="shared" si="196"/>
        <v>4139</v>
      </c>
      <c r="U71" s="58">
        <f t="shared" si="206"/>
        <v>10138</v>
      </c>
      <c r="V71" s="58">
        <f t="shared" si="207"/>
        <v>11739</v>
      </c>
      <c r="W71" s="57" t="s">
        <v>334</v>
      </c>
      <c r="X71" s="57" t="str">
        <f t="shared" ref="X71:X83" si="234">IF(K71="A","",CONCATENATE(J71,"-A11"))</f>
        <v>T-PQ11-O-A11</v>
      </c>
      <c r="Y71" s="57">
        <f t="shared" ref="Y71:Y83" si="235">IF(K71="A",512,IF(K71="F",2048,IF(K71="S",1024)))</f>
        <v>1024</v>
      </c>
      <c r="Z71" s="57">
        <f t="shared" ref="Z71:Z83" si="236">IF(K71="A","",IF(K71="F",(Y71/16)*6,IF(K71="S",Y71/4)))</f>
        <v>256</v>
      </c>
      <c r="AA71" s="57">
        <f t="shared" si="209"/>
        <v>256</v>
      </c>
      <c r="AB71" s="57">
        <f t="shared" ref="AB71:AB83" si="237">IF(K71="A","",IF(K71="F",(Y71/16)*4,IF(K71="S",Y71/4)))</f>
        <v>256</v>
      </c>
      <c r="AC71" s="57">
        <f t="shared" si="210"/>
        <v>256</v>
      </c>
      <c r="AD71" s="12" t="s">
        <v>80</v>
      </c>
      <c r="AE71" s="57" t="str">
        <f t="shared" si="208"/>
        <v>/pq1/pq11/wasApp</v>
      </c>
      <c r="AF71" s="57" t="str">
        <f>CONCATENATE("/log/jboss7/",J71,"/",M71)</f>
        <v>/log/jboss7/T-PQ11-O/T-PQ11-O-S11</v>
      </c>
      <c r="AG71" s="57"/>
      <c r="AH71" s="57"/>
      <c r="AI71" s="57"/>
      <c r="AJ71" s="57"/>
    </row>
    <row r="72" spans="1:36" s="51" customFormat="1" ht="16.5" customHeight="1" x14ac:dyDescent="0.3">
      <c r="A72" s="100" t="s">
        <v>341</v>
      </c>
      <c r="B72" s="8" t="s">
        <v>223</v>
      </c>
      <c r="C72" s="8">
        <v>1</v>
      </c>
      <c r="D72" s="52" t="s">
        <v>422</v>
      </c>
      <c r="E72" s="52" t="str">
        <f t="shared" si="204"/>
        <v>ticowb01</v>
      </c>
      <c r="F72" s="52" t="str">
        <f t="shared" si="205"/>
        <v>ticoap01</v>
      </c>
      <c r="G72" s="9" t="s">
        <v>289</v>
      </c>
      <c r="H72" s="33" t="str">
        <f>VLOOKUP(G72,'Domain별 코드 체계'!$B$5:$J$29,7,0)</f>
        <v>SP11</v>
      </c>
      <c r="I72" s="126" t="s">
        <v>5</v>
      </c>
      <c r="J72" s="10" t="str">
        <f t="shared" si="192"/>
        <v>T-SP11-O</v>
      </c>
      <c r="K72" s="135" t="s">
        <v>88</v>
      </c>
      <c r="L72" s="65">
        <v>1</v>
      </c>
      <c r="M72" s="57" t="str">
        <f t="shared" si="193"/>
        <v>T-SP11-O-F11</v>
      </c>
      <c r="N72" s="59" t="str">
        <f>IF(K72="S",9, "8")&amp;VLOOKUP(H72,'WAS Domain'!$E$11:$I$27,3,0)&amp;VLOOKUP(H72,'WAS Domain'!$E$11:$I$27,4,0)&amp;IF(RIGHT(H72,1)="1",L72,RIGHT(H72,1))</f>
        <v>8211</v>
      </c>
      <c r="O72" s="59">
        <f t="shared" si="12"/>
        <v>8654</v>
      </c>
      <c r="P72" s="59" t="str">
        <f>VLOOKUP(H72,'WAS Domain'!$E$11:$I$26,2,0)&amp;VLOOKUP(H72,'WAS Domain'!$E$11:$I$26,3,0)&amp;VLOOKUP(H72,'WAS Domain'!$E$11:$I$26,4,0)&amp;VLOOKUP(H72,'WAS Domain'!$E$11:$I$26,5,0)&amp;IF(K72="A",0,IF(K72="F",L72,IF(LEFT(H72,3)="FWM",L72,9)))</f>
        <v>12111</v>
      </c>
      <c r="Q72" s="58">
        <f t="shared" si="194"/>
        <v>12040</v>
      </c>
      <c r="R72" s="58">
        <f t="shared" si="195"/>
        <v>14021</v>
      </c>
      <c r="S72" s="58">
        <f t="shared" si="15"/>
        <v>14030</v>
      </c>
      <c r="T72" s="58">
        <f t="shared" si="196"/>
        <v>4031</v>
      </c>
      <c r="U72" s="58">
        <f t="shared" si="206"/>
        <v>10030</v>
      </c>
      <c r="V72" s="58">
        <f t="shared" si="207"/>
        <v>11631</v>
      </c>
      <c r="W72" s="57" t="s">
        <v>335</v>
      </c>
      <c r="X72" s="57" t="str">
        <f t="shared" si="234"/>
        <v>T-SP11-O-A11</v>
      </c>
      <c r="Y72" s="57">
        <f t="shared" si="235"/>
        <v>2048</v>
      </c>
      <c r="Z72" s="57">
        <f t="shared" si="236"/>
        <v>768</v>
      </c>
      <c r="AA72" s="57">
        <f t="shared" si="209"/>
        <v>768</v>
      </c>
      <c r="AB72" s="57">
        <f t="shared" si="237"/>
        <v>512</v>
      </c>
      <c r="AC72" s="57">
        <f t="shared" si="210"/>
        <v>512</v>
      </c>
      <c r="AD72" s="65" t="s">
        <v>80</v>
      </c>
      <c r="AE72" s="57" t="str">
        <f t="shared" si="208"/>
        <v>/sp1/sp11/wasApp</v>
      </c>
      <c r="AF72" s="57" t="str">
        <f t="shared" ref="AF72:AF83" si="238">CONCATENATE("/log/jboss7/",J72,"/",M72)</f>
        <v>/log/jboss7/T-SP11-O/T-SP11-O-F11</v>
      </c>
      <c r="AG72" s="65"/>
      <c r="AH72" s="13"/>
      <c r="AI72" s="13"/>
      <c r="AJ72" s="101"/>
    </row>
    <row r="73" spans="1:36" s="51" customFormat="1" ht="16.5" customHeight="1" x14ac:dyDescent="0.3">
      <c r="A73" s="100" t="s">
        <v>341</v>
      </c>
      <c r="B73" s="8" t="s">
        <v>223</v>
      </c>
      <c r="C73" s="8">
        <v>1</v>
      </c>
      <c r="D73" s="52" t="s">
        <v>422</v>
      </c>
      <c r="E73" s="52" t="str">
        <f t="shared" si="204"/>
        <v>ticowb01</v>
      </c>
      <c r="F73" s="52" t="str">
        <f t="shared" si="205"/>
        <v>ticoap01</v>
      </c>
      <c r="G73" s="9" t="s">
        <v>289</v>
      </c>
      <c r="H73" s="33" t="str">
        <f>VLOOKUP(G73,'Domain별 코드 체계'!$B$5:$J$29,7,0)</f>
        <v>SP11</v>
      </c>
      <c r="I73" s="126" t="s">
        <v>5</v>
      </c>
      <c r="J73" s="10" t="str">
        <f t="shared" si="192"/>
        <v>T-SP11-O</v>
      </c>
      <c r="K73" s="135" t="s">
        <v>377</v>
      </c>
      <c r="L73" s="65">
        <v>1</v>
      </c>
      <c r="M73" s="57" t="str">
        <f t="shared" si="193"/>
        <v>T-SP11-O-S11</v>
      </c>
      <c r="N73" s="59" t="str">
        <f>IF(K73="S",9, "8")&amp;VLOOKUP(H73,'WAS Domain'!$E$11:$I$27,3,0)&amp;VLOOKUP(H73,'WAS Domain'!$E$11:$I$27,4,0)&amp;IF(RIGHT(H73,1)="1",L73,RIGHT(H73,1))</f>
        <v>9211</v>
      </c>
      <c r="O73" s="59">
        <f t="shared" si="12"/>
        <v>9654</v>
      </c>
      <c r="P73" s="59" t="str">
        <f>VLOOKUP(H73,'WAS Domain'!$E$11:$I$26,2,0)&amp;VLOOKUP(H73,'WAS Domain'!$E$11:$I$26,3,0)&amp;VLOOKUP(H73,'WAS Domain'!$E$11:$I$26,4,0)&amp;VLOOKUP(H73,'WAS Domain'!$E$11:$I$26,5,0)&amp;IF(K73="A",0,IF(K73="F",L73,IF(LEFT(H73,3)="FWM",L73,9)))</f>
        <v>12119</v>
      </c>
      <c r="Q73" s="58">
        <f t="shared" si="194"/>
        <v>12048</v>
      </c>
      <c r="R73" s="58">
        <f t="shared" si="195"/>
        <v>14029</v>
      </c>
      <c r="S73" s="58">
        <f t="shared" si="15"/>
        <v>14038</v>
      </c>
      <c r="T73" s="58">
        <f t="shared" si="196"/>
        <v>4039</v>
      </c>
      <c r="U73" s="58">
        <f t="shared" si="206"/>
        <v>10038</v>
      </c>
      <c r="V73" s="58">
        <f t="shared" si="207"/>
        <v>11639</v>
      </c>
      <c r="W73" s="57" t="s">
        <v>336</v>
      </c>
      <c r="X73" s="57" t="str">
        <f t="shared" si="234"/>
        <v>T-SP11-O-A11</v>
      </c>
      <c r="Y73" s="57">
        <f t="shared" si="235"/>
        <v>1024</v>
      </c>
      <c r="Z73" s="57">
        <f t="shared" si="236"/>
        <v>256</v>
      </c>
      <c r="AA73" s="57">
        <f t="shared" si="209"/>
        <v>256</v>
      </c>
      <c r="AB73" s="57">
        <f t="shared" si="237"/>
        <v>256</v>
      </c>
      <c r="AC73" s="57">
        <f t="shared" si="210"/>
        <v>256</v>
      </c>
      <c r="AD73" s="65" t="s">
        <v>80</v>
      </c>
      <c r="AE73" s="57" t="str">
        <f t="shared" si="208"/>
        <v>/sp1/sp11/wasApp</v>
      </c>
      <c r="AF73" s="57" t="str">
        <f t="shared" si="238"/>
        <v>/log/jboss7/T-SP11-O/T-SP11-O-S11</v>
      </c>
      <c r="AG73" s="65"/>
      <c r="AH73" s="13"/>
      <c r="AI73" s="13"/>
      <c r="AJ73" s="101"/>
    </row>
    <row r="74" spans="1:36" s="51" customFormat="1" ht="16.5" customHeight="1" x14ac:dyDescent="0.3">
      <c r="A74" s="8" t="s">
        <v>40</v>
      </c>
      <c r="B74" s="65" t="s">
        <v>287</v>
      </c>
      <c r="C74" s="8">
        <v>1</v>
      </c>
      <c r="D74" s="52" t="s">
        <v>422</v>
      </c>
      <c r="E74" s="52" t="str">
        <f t="shared" si="204"/>
        <v>ticowb01</v>
      </c>
      <c r="F74" s="52" t="str">
        <f t="shared" si="205"/>
        <v>ticoap01</v>
      </c>
      <c r="G74" s="261" t="s">
        <v>327</v>
      </c>
      <c r="H74" s="33" t="str">
        <f>VLOOKUP(G74,'Domain별 코드 체계'!$B$5:$J$29,7,0)</f>
        <v>GE21</v>
      </c>
      <c r="I74" s="126" t="s">
        <v>5</v>
      </c>
      <c r="J74" s="10" t="str">
        <f t="shared" si="192"/>
        <v>T-GE21-O</v>
      </c>
      <c r="K74" s="135" t="s">
        <v>344</v>
      </c>
      <c r="L74" s="12">
        <v>1</v>
      </c>
      <c r="M74" s="57" t="str">
        <f t="shared" si="193"/>
        <v>T-GE21-O-F11</v>
      </c>
      <c r="N74" s="158" t="str">
        <f>IF(K74="S",9, "8")&amp;VLOOKUP(H74,'WAS Domain'!$E$11:$I$27,3,0)&amp;VLOOKUP(H74,'WAS Domain'!$E$11:$I$27,4,0)&amp;IF(RIGHT(H74,1)="1",L74,RIGHT(H74,1))</f>
        <v>8241</v>
      </c>
      <c r="O74" s="158">
        <f t="shared" si="12"/>
        <v>8684</v>
      </c>
      <c r="P74" s="158" t="str">
        <f>VLOOKUP(H74,'WAS Domain'!$E$11:$I$26,2,0)&amp;VLOOKUP(H74,'WAS Domain'!$E$11:$I$26,3,0)&amp;VLOOKUP(H74,'WAS Domain'!$E$11:$I$26,4,0)&amp;VLOOKUP(H74,'WAS Domain'!$E$11:$I$26,5,0)&amp;IF(K74="A",0,IF(K74="F",L74,IF(LEFT(H74,3)="FWM",L74,9)))</f>
        <v>12411</v>
      </c>
      <c r="Q74" s="190">
        <f t="shared" si="194"/>
        <v>12340</v>
      </c>
      <c r="R74" s="190">
        <f t="shared" si="195"/>
        <v>14321</v>
      </c>
      <c r="S74" s="190">
        <f t="shared" si="15"/>
        <v>14330</v>
      </c>
      <c r="T74" s="190">
        <f t="shared" si="196"/>
        <v>4331</v>
      </c>
      <c r="U74" s="190">
        <f t="shared" si="206"/>
        <v>10330</v>
      </c>
      <c r="V74" s="190">
        <f t="shared" si="207"/>
        <v>11931</v>
      </c>
      <c r="W74" s="57" t="s">
        <v>342</v>
      </c>
      <c r="X74" s="57" t="str">
        <f t="shared" si="234"/>
        <v>T-GE21-O-A11</v>
      </c>
      <c r="Y74" s="57">
        <f t="shared" si="235"/>
        <v>2048</v>
      </c>
      <c r="Z74" s="57">
        <f t="shared" si="236"/>
        <v>768</v>
      </c>
      <c r="AA74" s="57">
        <f t="shared" si="209"/>
        <v>768</v>
      </c>
      <c r="AB74" s="57">
        <f t="shared" si="237"/>
        <v>512</v>
      </c>
      <c r="AC74" s="57">
        <f t="shared" si="210"/>
        <v>512</v>
      </c>
      <c r="AD74" s="12" t="s">
        <v>80</v>
      </c>
      <c r="AE74" s="57" t="str">
        <f t="shared" si="208"/>
        <v>/ge2/ge21/wasApp</v>
      </c>
      <c r="AF74" s="57" t="str">
        <f t="shared" si="238"/>
        <v>/log/jboss7/T-GE21-O/T-GE21-O-F11</v>
      </c>
      <c r="AG74" s="57"/>
      <c r="AH74" s="57"/>
      <c r="AI74" s="57"/>
      <c r="AJ74" s="57"/>
    </row>
    <row r="75" spans="1:36" s="51" customFormat="1" ht="16.5" customHeight="1" x14ac:dyDescent="0.3">
      <c r="A75" s="8" t="s">
        <v>40</v>
      </c>
      <c r="B75" s="65" t="s">
        <v>287</v>
      </c>
      <c r="C75" s="8">
        <v>1</v>
      </c>
      <c r="D75" s="52" t="s">
        <v>422</v>
      </c>
      <c r="E75" s="52" t="str">
        <f t="shared" si="204"/>
        <v>ticowb01</v>
      </c>
      <c r="F75" s="52" t="str">
        <f t="shared" si="205"/>
        <v>ticoap01</v>
      </c>
      <c r="G75" s="261" t="s">
        <v>327</v>
      </c>
      <c r="H75" s="33" t="str">
        <f>VLOOKUP(G75,'Domain별 코드 체계'!$B$5:$J$29,7,0)</f>
        <v>GE21</v>
      </c>
      <c r="I75" s="126" t="s">
        <v>375</v>
      </c>
      <c r="J75" s="10" t="str">
        <f t="shared" si="192"/>
        <v>T-GE21-O</v>
      </c>
      <c r="K75" s="135" t="s">
        <v>377</v>
      </c>
      <c r="L75" s="12">
        <v>1</v>
      </c>
      <c r="M75" s="57" t="str">
        <f t="shared" si="193"/>
        <v>T-GE21-O-S11</v>
      </c>
      <c r="N75" s="158" t="str">
        <f>IF(K75="S",9, "8")&amp;VLOOKUP(H75,'WAS Domain'!$E$11:$I$27,3,0)&amp;VLOOKUP(H75,'WAS Domain'!$E$11:$I$27,4,0)&amp;IF(RIGHT(H75,1)="1",L75,RIGHT(H75,1))</f>
        <v>9241</v>
      </c>
      <c r="O75" s="158">
        <f t="shared" si="12"/>
        <v>9684</v>
      </c>
      <c r="P75" s="158" t="str">
        <f>VLOOKUP(H75,'WAS Domain'!$E$11:$I$26,2,0)&amp;VLOOKUP(H75,'WAS Domain'!$E$11:$I$26,3,0)&amp;VLOOKUP(H75,'WAS Domain'!$E$11:$I$26,4,0)&amp;VLOOKUP(H75,'WAS Domain'!$E$11:$I$26,5,0)&amp;IF(K75="A",0,IF(K75="F",L75,IF(LEFT(H75,3)="FWM",L75,9)))</f>
        <v>12419</v>
      </c>
      <c r="Q75" s="190">
        <f t="shared" si="194"/>
        <v>12348</v>
      </c>
      <c r="R75" s="190">
        <f t="shared" si="195"/>
        <v>14329</v>
      </c>
      <c r="S75" s="190">
        <f t="shared" si="15"/>
        <v>14338</v>
      </c>
      <c r="T75" s="190">
        <f t="shared" si="196"/>
        <v>4339</v>
      </c>
      <c r="U75" s="190">
        <f t="shared" si="206"/>
        <v>10338</v>
      </c>
      <c r="V75" s="190">
        <f t="shared" si="207"/>
        <v>11939</v>
      </c>
      <c r="W75" s="57" t="s">
        <v>337</v>
      </c>
      <c r="X75" s="57" t="str">
        <f t="shared" si="234"/>
        <v>T-GE21-O-A11</v>
      </c>
      <c r="Y75" s="57">
        <f t="shared" si="235"/>
        <v>1024</v>
      </c>
      <c r="Z75" s="57">
        <f t="shared" si="236"/>
        <v>256</v>
      </c>
      <c r="AA75" s="57">
        <f t="shared" si="209"/>
        <v>256</v>
      </c>
      <c r="AB75" s="57">
        <f t="shared" si="237"/>
        <v>256</v>
      </c>
      <c r="AC75" s="57">
        <f t="shared" si="210"/>
        <v>256</v>
      </c>
      <c r="AD75" s="12" t="s">
        <v>80</v>
      </c>
      <c r="AE75" s="57" t="str">
        <f t="shared" si="208"/>
        <v>/ge2/ge21/wasApp</v>
      </c>
      <c r="AF75" s="57" t="str">
        <f t="shared" si="238"/>
        <v>/log/jboss7/T-GE21-O/T-GE21-O-S11</v>
      </c>
      <c r="AG75" s="57"/>
      <c r="AH75" s="57"/>
      <c r="AI75" s="57"/>
      <c r="AJ75" s="57"/>
    </row>
    <row r="76" spans="1:36" s="51" customFormat="1" ht="16.5" customHeight="1" x14ac:dyDescent="0.3">
      <c r="A76" s="8" t="s">
        <v>40</v>
      </c>
      <c r="B76" s="65" t="s">
        <v>229</v>
      </c>
      <c r="C76" s="8">
        <v>1</v>
      </c>
      <c r="D76" s="52" t="s">
        <v>422</v>
      </c>
      <c r="E76" s="52" t="str">
        <f t="shared" si="204"/>
        <v>ticowb01</v>
      </c>
      <c r="F76" s="52" t="str">
        <f t="shared" si="205"/>
        <v>ticoap01</v>
      </c>
      <c r="G76" s="9" t="s">
        <v>328</v>
      </c>
      <c r="H76" s="33" t="str">
        <f>VLOOKUP(G76,'Domain별 코드 체계'!$B$5:$J$29,7,0)</f>
        <v>MS71</v>
      </c>
      <c r="I76" s="126" t="s">
        <v>5</v>
      </c>
      <c r="J76" s="10" t="str">
        <f t="shared" si="192"/>
        <v>T-MS71-O</v>
      </c>
      <c r="K76" s="135" t="s">
        <v>88</v>
      </c>
      <c r="L76" s="12">
        <v>1</v>
      </c>
      <c r="M76" s="57" t="str">
        <f t="shared" si="193"/>
        <v>T-MS71-O-F11</v>
      </c>
      <c r="N76" s="59" t="str">
        <f>IF(K76="S",9, "8")&amp;VLOOKUP(H76,'WAS Domain'!$E$11:$I$27,3,0)&amp;VLOOKUP(H76,'WAS Domain'!$E$11:$I$27,4,0)&amp;IF(RIGHT(H76,1)="1",L76,RIGHT(H76,1))</f>
        <v>8251</v>
      </c>
      <c r="O76" s="59">
        <f t="shared" si="12"/>
        <v>8694</v>
      </c>
      <c r="P76" s="59" t="str">
        <f>VLOOKUP(H76,'WAS Domain'!$E$11:$I$26,2,0)&amp;VLOOKUP(H76,'WAS Domain'!$E$11:$I$26,3,0)&amp;VLOOKUP(H76,'WAS Domain'!$E$11:$I$26,4,0)&amp;VLOOKUP(H76,'WAS Domain'!$E$11:$I$26,5,0)&amp;IF(K76="A",0,IF(K76="F",L76,IF(LEFT(H76,3)="FWM",L76,9)))</f>
        <v>12511</v>
      </c>
      <c r="Q76" s="59">
        <f t="shared" si="194"/>
        <v>12440</v>
      </c>
      <c r="R76" s="59">
        <f t="shared" si="195"/>
        <v>14421</v>
      </c>
      <c r="S76" s="59">
        <f t="shared" ref="S76:S98" si="239">T76+9999</f>
        <v>14430</v>
      </c>
      <c r="T76" s="59">
        <f t="shared" si="196"/>
        <v>4431</v>
      </c>
      <c r="U76" s="58">
        <f t="shared" si="206"/>
        <v>10430</v>
      </c>
      <c r="V76" s="58">
        <f t="shared" si="207"/>
        <v>12031</v>
      </c>
      <c r="W76" s="57" t="s">
        <v>302</v>
      </c>
      <c r="X76" s="57" t="str">
        <f t="shared" si="234"/>
        <v>T-MS71-O-A11</v>
      </c>
      <c r="Y76" s="57">
        <f t="shared" si="235"/>
        <v>2048</v>
      </c>
      <c r="Z76" s="57">
        <f t="shared" si="236"/>
        <v>768</v>
      </c>
      <c r="AA76" s="57">
        <f t="shared" si="209"/>
        <v>768</v>
      </c>
      <c r="AB76" s="57">
        <f t="shared" si="237"/>
        <v>512</v>
      </c>
      <c r="AC76" s="57">
        <f t="shared" si="210"/>
        <v>512</v>
      </c>
      <c r="AD76" s="12" t="s">
        <v>80</v>
      </c>
      <c r="AE76" s="57" t="str">
        <f t="shared" si="208"/>
        <v>/ms7/ms71/wasApp</v>
      </c>
      <c r="AF76" s="57" t="str">
        <f t="shared" si="238"/>
        <v>/log/jboss7/T-MS71-O/T-MS71-O-F11</v>
      </c>
      <c r="AG76" s="57"/>
      <c r="AH76" s="57"/>
      <c r="AI76" s="57"/>
      <c r="AJ76" s="57"/>
    </row>
    <row r="77" spans="1:36" s="51" customFormat="1" ht="16.5" customHeight="1" x14ac:dyDescent="0.3">
      <c r="A77" s="8" t="s">
        <v>40</v>
      </c>
      <c r="B77" s="65" t="s">
        <v>225</v>
      </c>
      <c r="C77" s="8">
        <v>1</v>
      </c>
      <c r="D77" s="52" t="s">
        <v>422</v>
      </c>
      <c r="E77" s="52" t="str">
        <f>CONCATENATE(A77,"ico","wb0",C77)</f>
        <v>ticowb01</v>
      </c>
      <c r="F77" s="52" t="str">
        <f>CONCATENATE(A77,"ico","ap0",C77)</f>
        <v>ticoap01</v>
      </c>
      <c r="G77" s="9" t="s">
        <v>326</v>
      </c>
      <c r="H77" s="33" t="str">
        <f>VLOOKUP(G77,'Domain별 코드 체계'!$B$5:$J$29,7,0)</f>
        <v>BIM1</v>
      </c>
      <c r="I77" s="126" t="s">
        <v>375</v>
      </c>
      <c r="J77" s="10" t="str">
        <f>CONCATENATE(UPPER(IF(A77="d","P",A77)),"-",H77,"-",I77)</f>
        <v>T-BIM1-O</v>
      </c>
      <c r="K77" s="135" t="s">
        <v>88</v>
      </c>
      <c r="L77" s="12">
        <v>1</v>
      </c>
      <c r="M77" s="57" t="str">
        <f>CONCATENATE(J77,"-",K77,C77,L77)</f>
        <v>T-BIM1-O-F11</v>
      </c>
      <c r="N77" s="59" t="str">
        <f>IF(K77="S",9, "8")&amp;VLOOKUP(H77,'WAS Domain'!$E$11:$I$27,3,0)&amp;VLOOKUP(H77,'WAS Domain'!$E$11:$I$27,4,0)&amp;IF(RIGHT(H77,1)="1",L77,RIGHT(H77,1))</f>
        <v>8411</v>
      </c>
      <c r="O77" s="59">
        <f>N77+443</f>
        <v>8854</v>
      </c>
      <c r="P77" s="59" t="str">
        <f>VLOOKUP(H77,'WAS Domain'!$E$11:$I$26,2,0)&amp;VLOOKUP(H77,'WAS Domain'!$E$11:$I$26,3,0)&amp;VLOOKUP(H77,'WAS Domain'!$E$11:$I$26,4,0)&amp;VLOOKUP(H77,'WAS Domain'!$E$11:$I$26,5,0)&amp;IF(K77="A",0,IF(K77="F",L77,IF(LEFT(H77,3)="FWM",L77,9)))</f>
        <v>14111</v>
      </c>
      <c r="Q77" s="59">
        <f>T77+8009</f>
        <v>13030</v>
      </c>
      <c r="R77" s="59">
        <f>T77+9990</f>
        <v>15011</v>
      </c>
      <c r="S77" s="59">
        <f>T77+9999</f>
        <v>15020</v>
      </c>
      <c r="T77" s="59">
        <f>P77-9090</f>
        <v>5021</v>
      </c>
      <c r="U77" s="58">
        <f t="shared" si="206"/>
        <v>11020</v>
      </c>
      <c r="V77" s="58">
        <f t="shared" si="207"/>
        <v>12621</v>
      </c>
      <c r="W77" s="57" t="s">
        <v>298</v>
      </c>
      <c r="X77" s="57" t="str">
        <f>IF(K77="A","",CONCATENATE(J77,"-A11"))</f>
        <v>T-BIM1-O-A11</v>
      </c>
      <c r="Y77" s="57">
        <f>IF(K77="A",512,IF(K77="F",2048,IF(K77="S",1024)))</f>
        <v>2048</v>
      </c>
      <c r="Z77" s="57">
        <f>IF(K77="A","",IF(K77="F",(Y77/16)*6,IF(K77="S",Y77/4)))</f>
        <v>768</v>
      </c>
      <c r="AA77" s="57">
        <f>Z77</f>
        <v>768</v>
      </c>
      <c r="AB77" s="57">
        <f>IF(K77="A","",IF(K77="F",(Y77/16)*4,IF(K77="S",Y77/4)))</f>
        <v>512</v>
      </c>
      <c r="AC77" s="57">
        <f>AB77</f>
        <v>512</v>
      </c>
      <c r="AD77" s="12" t="s">
        <v>80</v>
      </c>
      <c r="AE77" s="57" t="str">
        <f t="shared" si="208"/>
        <v>/bim/bim1/wasApp</v>
      </c>
      <c r="AF77" s="57" t="str">
        <f>CONCATENATE("/log/jboss7/",J77,"/",M77)</f>
        <v>/log/jboss7/T-BIM1-O/T-BIM1-O-F11</v>
      </c>
      <c r="AG77" s="57"/>
      <c r="AH77" s="57"/>
      <c r="AI77" s="57"/>
      <c r="AJ77" s="57"/>
    </row>
    <row r="78" spans="1:36" s="51" customFormat="1" ht="16.5" customHeight="1" x14ac:dyDescent="0.3">
      <c r="A78" s="8" t="s">
        <v>40</v>
      </c>
      <c r="B78" s="65" t="s">
        <v>231</v>
      </c>
      <c r="C78" s="8">
        <v>1</v>
      </c>
      <c r="D78" s="52" t="s">
        <v>422</v>
      </c>
      <c r="E78" s="52" t="str">
        <f t="shared" si="204"/>
        <v>ticowb01</v>
      </c>
      <c r="F78" s="52" t="str">
        <f t="shared" si="205"/>
        <v>ticoap01</v>
      </c>
      <c r="G78" s="9" t="s">
        <v>329</v>
      </c>
      <c r="H78" s="33" t="str">
        <f>VLOOKUP(G78,'Domain별 코드 체계'!$B$5:$J$29,7,0)</f>
        <v>WO11</v>
      </c>
      <c r="I78" s="126" t="s">
        <v>375</v>
      </c>
      <c r="J78" s="10" t="str">
        <f t="shared" si="192"/>
        <v>T-WO11-O</v>
      </c>
      <c r="K78" s="135" t="s">
        <v>344</v>
      </c>
      <c r="L78" s="12">
        <v>1</v>
      </c>
      <c r="M78" s="57" t="str">
        <f t="shared" si="193"/>
        <v>T-WO11-O-F11</v>
      </c>
      <c r="N78" s="59" t="str">
        <f>IF(K78="S",9, "8")&amp;VLOOKUP(H78,'WAS Domain'!$E$11:$I$27,3,0)&amp;VLOOKUP(H78,'WAS Domain'!$E$11:$I$27,4,0)&amp;IF(RIGHT(H78,1)="1",L78,RIGHT(H78,1))</f>
        <v>8421</v>
      </c>
      <c r="O78" s="59">
        <f t="shared" si="12"/>
        <v>8864</v>
      </c>
      <c r="P78" s="59" t="str">
        <f>VLOOKUP(H78,'WAS Domain'!$E$11:$I$26,2,0)&amp;VLOOKUP(H78,'WAS Domain'!$E$11:$I$26,3,0)&amp;VLOOKUP(H78,'WAS Domain'!$E$11:$I$26,4,0)&amp;VLOOKUP(H78,'WAS Domain'!$E$11:$I$26,5,0)&amp;IF(K78="A",0,IF(K78="F",L78,IF(LEFT(H78,3)="FWM",L78,9)))</f>
        <v>14211</v>
      </c>
      <c r="Q78" s="59">
        <f t="shared" si="194"/>
        <v>13130</v>
      </c>
      <c r="R78" s="59">
        <f t="shared" si="195"/>
        <v>15111</v>
      </c>
      <c r="S78" s="59">
        <f t="shared" si="239"/>
        <v>15120</v>
      </c>
      <c r="T78" s="59">
        <f t="shared" ref="T78:T80" si="240">P78-9090</f>
        <v>5121</v>
      </c>
      <c r="U78" s="58">
        <f t="shared" si="206"/>
        <v>11120</v>
      </c>
      <c r="V78" s="58">
        <f t="shared" si="207"/>
        <v>12721</v>
      </c>
      <c r="W78" s="57" t="s">
        <v>305</v>
      </c>
      <c r="X78" s="57" t="str">
        <f t="shared" si="234"/>
        <v>T-WO11-O-A11</v>
      </c>
      <c r="Y78" s="57">
        <f t="shared" si="235"/>
        <v>2048</v>
      </c>
      <c r="Z78" s="57">
        <f t="shared" si="236"/>
        <v>768</v>
      </c>
      <c r="AA78" s="57">
        <f t="shared" si="209"/>
        <v>768</v>
      </c>
      <c r="AB78" s="57">
        <f t="shared" si="237"/>
        <v>512</v>
      </c>
      <c r="AC78" s="57">
        <f t="shared" si="210"/>
        <v>512</v>
      </c>
      <c r="AD78" s="12" t="s">
        <v>80</v>
      </c>
      <c r="AE78" s="57" t="str">
        <f t="shared" si="208"/>
        <v>/wo1/wo11/wasApp</v>
      </c>
      <c r="AF78" s="57" t="str">
        <f t="shared" si="238"/>
        <v>/log/jboss7/T-WO11-O/T-WO11-O-F11</v>
      </c>
      <c r="AG78" s="57"/>
      <c r="AH78" s="57"/>
      <c r="AI78" s="57"/>
      <c r="AJ78" s="57"/>
    </row>
    <row r="79" spans="1:36" s="51" customFormat="1" ht="16.5" customHeight="1" x14ac:dyDescent="0.3">
      <c r="A79" s="8" t="s">
        <v>40</v>
      </c>
      <c r="B79" s="65" t="s">
        <v>231</v>
      </c>
      <c r="C79" s="8">
        <v>1</v>
      </c>
      <c r="D79" s="52" t="s">
        <v>422</v>
      </c>
      <c r="E79" s="52" t="str">
        <f t="shared" si="204"/>
        <v>ticowb01</v>
      </c>
      <c r="F79" s="52" t="str">
        <f t="shared" si="205"/>
        <v>ticoap01</v>
      </c>
      <c r="G79" s="9" t="s">
        <v>330</v>
      </c>
      <c r="H79" s="33" t="str">
        <f>VLOOKUP(G79,'Domain별 코드 체계'!$B$5:$J$29,7,0)</f>
        <v>WO12</v>
      </c>
      <c r="I79" s="126" t="s">
        <v>375</v>
      </c>
      <c r="J79" s="10" t="str">
        <f t="shared" si="192"/>
        <v>T-WO12-O</v>
      </c>
      <c r="K79" s="135" t="s">
        <v>377</v>
      </c>
      <c r="L79" s="12">
        <v>1</v>
      </c>
      <c r="M79" s="57" t="str">
        <f t="shared" si="193"/>
        <v>T-WO12-O-S11</v>
      </c>
      <c r="N79" s="59" t="str">
        <f>IF(K79="S",9, "8")&amp;VLOOKUP(H79,'WAS Domain'!$E$11:$I$27,3,0)&amp;VLOOKUP(H79,'WAS Domain'!$E$11:$I$27,4,0)&amp;IF(RIGHT(H79,1)="1",L79,RIGHT(H79,1))</f>
        <v>9422</v>
      </c>
      <c r="O79" s="59">
        <f t="shared" ref="O79:O83" si="241">N79+443</f>
        <v>9865</v>
      </c>
      <c r="P79" s="59" t="str">
        <f>VLOOKUP(H79,'WAS Domain'!$E$11:$I$26,2,0)&amp;VLOOKUP(H79,'WAS Domain'!$E$11:$I$26,3,0)&amp;VLOOKUP(H79,'WAS Domain'!$E$11:$I$26,4,0)&amp;VLOOKUP(H79,'WAS Domain'!$E$11:$I$26,5,0)&amp;IF(K79="A",0,IF(K79="F",L79,IF(LEFT(H79,3)="FWM",L79,9)))</f>
        <v>14229</v>
      </c>
      <c r="Q79" s="59">
        <f t="shared" si="194"/>
        <v>13148</v>
      </c>
      <c r="R79" s="59">
        <f t="shared" si="195"/>
        <v>15129</v>
      </c>
      <c r="S79" s="59">
        <f t="shared" si="239"/>
        <v>15138</v>
      </c>
      <c r="T79" s="59">
        <f t="shared" si="240"/>
        <v>5139</v>
      </c>
      <c r="U79" s="58">
        <f t="shared" si="206"/>
        <v>11138</v>
      </c>
      <c r="V79" s="58">
        <f t="shared" si="207"/>
        <v>12739</v>
      </c>
      <c r="W79" s="57" t="s">
        <v>306</v>
      </c>
      <c r="X79" s="57" t="str">
        <f t="shared" si="234"/>
        <v>T-WO12-O-A11</v>
      </c>
      <c r="Y79" s="57">
        <f t="shared" si="235"/>
        <v>1024</v>
      </c>
      <c r="Z79" s="57">
        <f t="shared" si="236"/>
        <v>256</v>
      </c>
      <c r="AA79" s="57">
        <f t="shared" si="209"/>
        <v>256</v>
      </c>
      <c r="AB79" s="57">
        <f t="shared" si="237"/>
        <v>256</v>
      </c>
      <c r="AC79" s="57">
        <f t="shared" si="210"/>
        <v>256</v>
      </c>
      <c r="AD79" s="12" t="s">
        <v>80</v>
      </c>
      <c r="AE79" s="57" t="str">
        <f t="shared" si="208"/>
        <v>/wo1/wo12/wasApp</v>
      </c>
      <c r="AF79" s="57" t="str">
        <f t="shared" si="238"/>
        <v>/log/jboss7/T-WO12-O/T-WO12-O-S11</v>
      </c>
      <c r="AG79" s="57"/>
      <c r="AH79" s="57"/>
      <c r="AI79" s="57"/>
      <c r="AJ79" s="57"/>
    </row>
    <row r="80" spans="1:36" s="51" customFormat="1" ht="16.5" customHeight="1" x14ac:dyDescent="0.3">
      <c r="A80" s="8" t="s">
        <v>40</v>
      </c>
      <c r="B80" s="79" t="s">
        <v>231</v>
      </c>
      <c r="C80" s="8">
        <v>1</v>
      </c>
      <c r="D80" s="52" t="s">
        <v>422</v>
      </c>
      <c r="E80" s="52" t="str">
        <f t="shared" si="204"/>
        <v>ticowb01</v>
      </c>
      <c r="F80" s="52" t="str">
        <f t="shared" si="205"/>
        <v>ticoap01</v>
      </c>
      <c r="G80" s="9" t="s">
        <v>331</v>
      </c>
      <c r="H80" s="33" t="str">
        <f>VLOOKUP(G80,'Domain별 코드 체계'!$B$5:$J$29,7,0)</f>
        <v>WO13</v>
      </c>
      <c r="I80" s="126" t="s">
        <v>375</v>
      </c>
      <c r="J80" s="10" t="str">
        <f t="shared" ref="J80" si="242">CONCATENATE(UPPER(IF(A80="d","P",A80)),"-",H80,"-",I80)</f>
        <v>T-WO13-O</v>
      </c>
      <c r="K80" s="135" t="s">
        <v>377</v>
      </c>
      <c r="L80" s="12">
        <v>1</v>
      </c>
      <c r="M80" s="57" t="str">
        <f t="shared" si="193"/>
        <v>T-WO13-O-S11</v>
      </c>
      <c r="N80" s="59" t="str">
        <f>IF(K80="S",9, "8")&amp;VLOOKUP(H80,'WAS Domain'!$E$11:$I$27,3,0)&amp;VLOOKUP(H80,'WAS Domain'!$E$11:$I$27,4,0)&amp;IF(RIGHT(H80,1)="1",L80,RIGHT(H80,1))</f>
        <v>9423</v>
      </c>
      <c r="O80" s="59">
        <f t="shared" si="241"/>
        <v>9866</v>
      </c>
      <c r="P80" s="59" t="str">
        <f>VLOOKUP(H80,'WAS Domain'!$E$11:$I$26,2,0)&amp;VLOOKUP(H80,'WAS Domain'!$E$11:$I$26,3,0)&amp;VLOOKUP(H80,'WAS Domain'!$E$11:$I$26,4,0)&amp;VLOOKUP(H80,'WAS Domain'!$E$11:$I$26,5,0)&amp;IF(K80="A",0,IF(K80="F",L80,IF(LEFT(H80,3)="FWM",L80,9)))</f>
        <v>14239</v>
      </c>
      <c r="Q80" s="59">
        <f t="shared" si="194"/>
        <v>13158</v>
      </c>
      <c r="R80" s="59">
        <f t="shared" si="195"/>
        <v>15139</v>
      </c>
      <c r="S80" s="59">
        <f t="shared" si="239"/>
        <v>15148</v>
      </c>
      <c r="T80" s="59">
        <f t="shared" si="240"/>
        <v>5149</v>
      </c>
      <c r="U80" s="58">
        <f t="shared" si="206"/>
        <v>11148</v>
      </c>
      <c r="V80" s="58">
        <f t="shared" si="207"/>
        <v>12749</v>
      </c>
      <c r="W80" s="57" t="s">
        <v>307</v>
      </c>
      <c r="X80" s="57" t="str">
        <f t="shared" si="234"/>
        <v>T-WO13-O-A11</v>
      </c>
      <c r="Y80" s="57">
        <f t="shared" si="235"/>
        <v>1024</v>
      </c>
      <c r="Z80" s="57">
        <f t="shared" si="236"/>
        <v>256</v>
      </c>
      <c r="AA80" s="57">
        <f t="shared" ref="AA80" si="243">Z80</f>
        <v>256</v>
      </c>
      <c r="AB80" s="57">
        <f t="shared" si="237"/>
        <v>256</v>
      </c>
      <c r="AC80" s="57">
        <f t="shared" ref="AC80" si="244">AB80</f>
        <v>256</v>
      </c>
      <c r="AD80" s="12" t="s">
        <v>80</v>
      </c>
      <c r="AE80" s="57" t="str">
        <f t="shared" si="208"/>
        <v>/wo1/wo13/wasApp</v>
      </c>
      <c r="AF80" s="57" t="str">
        <f t="shared" si="238"/>
        <v>/log/jboss7/T-WO13-O/T-WO13-O-S11</v>
      </c>
      <c r="AG80" s="57"/>
      <c r="AH80" s="57"/>
      <c r="AI80" s="57"/>
      <c r="AJ80" s="57"/>
    </row>
    <row r="81" spans="1:36" s="51" customFormat="1" ht="16.5" customHeight="1" x14ac:dyDescent="0.3">
      <c r="A81" s="8" t="s">
        <v>40</v>
      </c>
      <c r="B81" s="8" t="s">
        <v>313</v>
      </c>
      <c r="C81" s="8">
        <v>1</v>
      </c>
      <c r="D81" s="52" t="s">
        <v>422</v>
      </c>
      <c r="E81" s="52" t="str">
        <f t="shared" si="204"/>
        <v>ticowb01</v>
      </c>
      <c r="F81" s="52" t="str">
        <f t="shared" si="205"/>
        <v>ticoap01</v>
      </c>
      <c r="G81" s="9" t="s">
        <v>332</v>
      </c>
      <c r="H81" s="33" t="str">
        <f>VLOOKUP(G81,'Domain별 코드 체계'!$B$5:$J$29,7,0)</f>
        <v>PS91</v>
      </c>
      <c r="I81" s="126" t="s">
        <v>375</v>
      </c>
      <c r="J81" s="10" t="str">
        <f t="shared" si="192"/>
        <v>T-PS91-O</v>
      </c>
      <c r="K81" s="135" t="s">
        <v>379</v>
      </c>
      <c r="L81" s="12">
        <v>1</v>
      </c>
      <c r="M81" s="57" t="str">
        <f t="shared" si="193"/>
        <v>T-PS91-O-F11</v>
      </c>
      <c r="N81" s="59" t="str">
        <f>IF(K81="S",9, "8")&amp;VLOOKUP(H81,'WAS Domain'!$E$11:$I$27,3,0)&amp;VLOOKUP(H81,'WAS Domain'!$E$11:$I$27,4,0)&amp;IF(RIGHT(H81,1)="1",L81,RIGHT(H81,1))</f>
        <v>8311</v>
      </c>
      <c r="O81" s="59">
        <f t="shared" si="241"/>
        <v>8754</v>
      </c>
      <c r="P81" s="59" t="str">
        <f>VLOOKUP(H81,'WAS Domain'!$E$11:$I$26,2,0)&amp;VLOOKUP(H81,'WAS Domain'!$E$11:$I$26,3,0)&amp;VLOOKUP(H81,'WAS Domain'!$E$11:$I$26,4,0)&amp;VLOOKUP(H81,'WAS Domain'!$E$11:$I$26,5,0)&amp;IF(K81="A",0,IF(K81="F",L81,IF(LEFT(H81,3)="FWM",L81,9)))</f>
        <v>13111</v>
      </c>
      <c r="Q81" s="58">
        <f t="shared" si="194"/>
        <v>13040</v>
      </c>
      <c r="R81" s="58">
        <f t="shared" si="195"/>
        <v>15021</v>
      </c>
      <c r="S81" s="58">
        <f t="shared" si="239"/>
        <v>15030</v>
      </c>
      <c r="T81" s="58">
        <f t="shared" si="196"/>
        <v>5031</v>
      </c>
      <c r="U81" s="58">
        <f t="shared" si="206"/>
        <v>11030</v>
      </c>
      <c r="V81" s="58">
        <f t="shared" si="207"/>
        <v>12631</v>
      </c>
      <c r="W81" s="143" t="s">
        <v>309</v>
      </c>
      <c r="X81" s="57" t="str">
        <f t="shared" si="234"/>
        <v>T-PS91-O-A11</v>
      </c>
      <c r="Y81" s="57">
        <f t="shared" si="235"/>
        <v>2048</v>
      </c>
      <c r="Z81" s="57">
        <f t="shared" si="236"/>
        <v>768</v>
      </c>
      <c r="AA81" s="57">
        <f t="shared" si="209"/>
        <v>768</v>
      </c>
      <c r="AB81" s="57">
        <f t="shared" si="237"/>
        <v>512</v>
      </c>
      <c r="AC81" s="57">
        <f t="shared" si="210"/>
        <v>512</v>
      </c>
      <c r="AD81" s="12" t="s">
        <v>80</v>
      </c>
      <c r="AE81" s="57" t="str">
        <f t="shared" si="208"/>
        <v>/ps9/ps91/wasApp</v>
      </c>
      <c r="AF81" s="57" t="str">
        <f t="shared" si="238"/>
        <v>/log/jboss7/T-PS91-O/T-PS91-O-F11</v>
      </c>
      <c r="AG81" s="57"/>
      <c r="AH81" s="57"/>
      <c r="AI81" s="57"/>
      <c r="AJ81" s="57"/>
    </row>
    <row r="82" spans="1:36" s="51" customFormat="1" ht="16.5" customHeight="1" x14ac:dyDescent="0.3">
      <c r="A82" s="8" t="s">
        <v>40</v>
      </c>
      <c r="B82" s="75" t="s">
        <v>381</v>
      </c>
      <c r="C82" s="8">
        <v>1</v>
      </c>
      <c r="D82" s="52" t="s">
        <v>423</v>
      </c>
      <c r="E82" s="52" t="str">
        <f t="shared" ref="E82" si="245">CONCATENATE(A82,"ico","wb0",C82)</f>
        <v>ticowb01</v>
      </c>
      <c r="F82" s="52" t="str">
        <f t="shared" ref="F82" si="246">CONCATENATE(A82,"ico","ap0",C82)</f>
        <v>ticoap01</v>
      </c>
      <c r="G82" s="73" t="s">
        <v>320</v>
      </c>
      <c r="H82" s="33" t="str">
        <f>VLOOKUP(G82,'Domain별 코드 체계'!$B$5:$J$29,7,0)</f>
        <v>VMS1</v>
      </c>
      <c r="I82" s="126" t="s">
        <v>5</v>
      </c>
      <c r="J82" s="10" t="str">
        <f t="shared" ref="J82" si="247">CONCATENATE(UPPER(IF(A82="d","P",A82)),"-",H82,"-",I82)</f>
        <v>T-VMS1-O</v>
      </c>
      <c r="K82" s="135" t="s">
        <v>319</v>
      </c>
      <c r="L82" s="184">
        <v>1</v>
      </c>
      <c r="M82" s="57" t="str">
        <f t="shared" ref="M82" si="248">CONCATENATE(J82,"-",K82,C82,L82)</f>
        <v>T-VMS1-O-F11</v>
      </c>
      <c r="N82" s="59" t="str">
        <f>IF(K82="S",9, "8")&amp;VLOOKUP(H82,'WAS Domain'!$E$11:$I$27,3,0)&amp;VLOOKUP(H82,'WAS Domain'!$E$11:$I$27,4,0)&amp;IF(RIGHT(H82,1)="1",L82,RIGHT(H82,1))</f>
        <v>8321</v>
      </c>
      <c r="O82" s="59">
        <f t="shared" ref="O82" si="249">N82+443</f>
        <v>8764</v>
      </c>
      <c r="P82" s="59" t="str">
        <f>VLOOKUP(H82,'WAS Domain'!$E$11:$I$26,2,0)&amp;VLOOKUP(H82,'WAS Domain'!$E$11:$I$26,3,0)&amp;VLOOKUP(H82,'WAS Domain'!$E$11:$I$26,4,0)&amp;VLOOKUP(H82,'WAS Domain'!$E$11:$I$26,5,0)&amp;IF(K82="A",0,IF(K82="F",L82,IF(LEFT(H82,3)="FWM",L82,9)))</f>
        <v>13211</v>
      </c>
      <c r="Q82" s="58">
        <f t="shared" si="194"/>
        <v>13140</v>
      </c>
      <c r="R82" s="58">
        <f t="shared" si="195"/>
        <v>15121</v>
      </c>
      <c r="S82" s="58">
        <f t="shared" ref="S82" si="250">T82+9999</f>
        <v>15130</v>
      </c>
      <c r="T82" s="58">
        <f t="shared" si="196"/>
        <v>5131</v>
      </c>
      <c r="U82" s="58">
        <f t="shared" ref="U82" si="251">T82+5999</f>
        <v>11130</v>
      </c>
      <c r="V82" s="58">
        <f t="shared" ref="V82" si="252">7600+T82</f>
        <v>12731</v>
      </c>
      <c r="W82" s="80" t="s">
        <v>317</v>
      </c>
      <c r="X82" s="57" t="str">
        <f t="shared" ref="X82" si="253">IF(K82="A","",CONCATENATE(J82,"-A11"))</f>
        <v>T-VMS1-O-A11</v>
      </c>
      <c r="Y82" s="57">
        <f t="shared" ref="Y82" si="254">IF(K82="A",512,IF(K82="F",2048,IF(K82="S",1024)))</f>
        <v>2048</v>
      </c>
      <c r="Z82" s="57">
        <f t="shared" ref="Z82" si="255">IF(K82="A","",IF(K82="F",(Y82/16)*6,IF(K82="S",Y82/4)))</f>
        <v>768</v>
      </c>
      <c r="AA82" s="57">
        <f t="shared" ref="AA82" si="256">Z82</f>
        <v>768</v>
      </c>
      <c r="AB82" s="57">
        <f t="shared" ref="AB82" si="257">IF(K82="A","",IF(K82="F",(Y82/16)*4,IF(K82="S",Y82/4)))</f>
        <v>512</v>
      </c>
      <c r="AC82" s="57">
        <f t="shared" ref="AC82" si="258">AB82</f>
        <v>512</v>
      </c>
      <c r="AD82" s="184" t="s">
        <v>80</v>
      </c>
      <c r="AE82" s="57" t="str">
        <f t="shared" si="208"/>
        <v>/vms/vms1/wasApp</v>
      </c>
      <c r="AF82" s="57" t="str">
        <f t="shared" ref="AF82" si="259">CONCATENATE("/log/jboss7/",J82,"/",M82)</f>
        <v>/log/jboss7/T-VMS1-O/T-VMS1-O-F11</v>
      </c>
      <c r="AG82" s="57"/>
      <c r="AH82" s="57"/>
      <c r="AI82" s="57"/>
      <c r="AJ82" s="57"/>
    </row>
    <row r="83" spans="1:36" s="51" customFormat="1" ht="16.5" customHeight="1" x14ac:dyDescent="0.3">
      <c r="A83" s="8" t="s">
        <v>40</v>
      </c>
      <c r="B83" s="75" t="s">
        <v>455</v>
      </c>
      <c r="C83" s="8">
        <v>1</v>
      </c>
      <c r="D83" s="52" t="s">
        <v>423</v>
      </c>
      <c r="E83" s="52" t="str">
        <f t="shared" si="204"/>
        <v>ticowb01</v>
      </c>
      <c r="F83" s="52" t="str">
        <f t="shared" si="205"/>
        <v>ticoap01</v>
      </c>
      <c r="G83" s="73" t="s">
        <v>460</v>
      </c>
      <c r="H83" s="33" t="str">
        <f>VLOOKUP(G83,'Domain별 코드 체계'!$B$5:$J$30,7,0)</f>
        <v>SF11</v>
      </c>
      <c r="I83" s="126" t="s">
        <v>5</v>
      </c>
      <c r="J83" s="10" t="str">
        <f t="shared" si="192"/>
        <v>T-SF11-O</v>
      </c>
      <c r="K83" s="135" t="s">
        <v>379</v>
      </c>
      <c r="L83" s="12">
        <v>1</v>
      </c>
      <c r="M83" s="57" t="str">
        <f t="shared" si="193"/>
        <v>T-SF11-O-F11</v>
      </c>
      <c r="N83" s="59" t="str">
        <f>IF(K83="S",9, "8")&amp;VLOOKUP(H83,'WAS Domain'!$E$11:$I$27,3,0)&amp;VLOOKUP(H83,'WAS Domain'!$E$11:$I$27,4,0)&amp;IF(RIGHT(H83,1)="1",L83,RIGHT(H83,1))</f>
        <v>8121</v>
      </c>
      <c r="O83" s="59">
        <f t="shared" si="241"/>
        <v>8564</v>
      </c>
      <c r="P83" s="158" t="str">
        <f>VLOOKUP(H83,'WAS Domain'!$E$11:$I$27,2,0)&amp;VLOOKUP(H83,'WAS Domain'!$E$11:$I$27,3,0)&amp;VLOOKUP(H83,'WAS Domain'!$E$11:$I$27,4,0)&amp;VLOOKUP(H83,'WAS Domain'!$E$11:$I$27,5,0)&amp;IF(K83="A",0,IF(K83="F",L83,IF(LEFT(H83,3)="FWM",L83,9)))</f>
        <v>11211</v>
      </c>
      <c r="Q83" s="190">
        <f t="shared" ref="Q83" si="260">T83+8009</f>
        <v>11140</v>
      </c>
      <c r="R83" s="190">
        <f t="shared" ref="R83" si="261">T83+9990</f>
        <v>13121</v>
      </c>
      <c r="S83" s="190">
        <f t="shared" si="239"/>
        <v>13130</v>
      </c>
      <c r="T83" s="190">
        <f t="shared" ref="T83" si="262">P83-8080</f>
        <v>3131</v>
      </c>
      <c r="U83" s="190">
        <f t="shared" si="206"/>
        <v>9130</v>
      </c>
      <c r="V83" s="190">
        <f t="shared" si="207"/>
        <v>10731</v>
      </c>
      <c r="W83" s="80" t="s">
        <v>462</v>
      </c>
      <c r="X83" s="57" t="str">
        <f t="shared" si="234"/>
        <v>T-SF11-O-A11</v>
      </c>
      <c r="Y83" s="57">
        <f t="shared" si="235"/>
        <v>2048</v>
      </c>
      <c r="Z83" s="57">
        <f t="shared" si="236"/>
        <v>768</v>
      </c>
      <c r="AA83" s="57">
        <f t="shared" si="209"/>
        <v>768</v>
      </c>
      <c r="AB83" s="57">
        <f t="shared" si="237"/>
        <v>512</v>
      </c>
      <c r="AC83" s="57">
        <f t="shared" si="210"/>
        <v>512</v>
      </c>
      <c r="AD83" s="12" t="s">
        <v>80</v>
      </c>
      <c r="AE83" s="57" t="str">
        <f>CONCATENATE("/",LOWER(B83),"/",LOWER(LEFT(H83,4)),"/wasApp")</f>
        <v>/sf1/sf11/wasApp</v>
      </c>
      <c r="AF83" s="57" t="str">
        <f t="shared" si="238"/>
        <v>/log/jboss7/T-SF11-O/T-SF11-O-F11</v>
      </c>
      <c r="AG83" s="57"/>
      <c r="AH83" s="57"/>
      <c r="AI83" s="57"/>
      <c r="AJ83" s="57"/>
    </row>
    <row r="84" spans="1:36" s="51" customFormat="1" ht="6" customHeight="1" x14ac:dyDescent="0.3">
      <c r="A84" s="37" t="s">
        <v>39</v>
      </c>
      <c r="B84" s="38"/>
      <c r="C84" s="38"/>
      <c r="D84" s="53"/>
      <c r="E84" s="53"/>
      <c r="F84" s="53"/>
      <c r="G84" s="53"/>
      <c r="H84" s="53"/>
      <c r="I84" s="53"/>
      <c r="J84" s="53"/>
      <c r="K84" s="38"/>
      <c r="L84" s="38"/>
      <c r="M84" s="53"/>
      <c r="N84" s="53"/>
      <c r="O84" s="53" t="e">
        <f>IF(L84="S",9, "8")&amp;VLOOKUP(I84,'WAS Domain'!$E$11:$I$26,3,0)&amp;VLOOKUP(I84,'WAS Domain'!$E$11:$I$26,4,0)&amp;VLOOKUP(I84,'WAS Domain'!$E$11:$I$26,5,0)</f>
        <v>#N/A</v>
      </c>
      <c r="P84" s="53"/>
      <c r="Q84" s="84"/>
      <c r="R84" s="84"/>
      <c r="S84" s="84"/>
      <c r="T84" s="84"/>
      <c r="U84" s="84"/>
      <c r="V84" s="84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</row>
    <row r="85" spans="1:36" s="51" customFormat="1" ht="16.5" customHeight="1" x14ac:dyDescent="0.3">
      <c r="A85" s="8" t="s">
        <v>345</v>
      </c>
      <c r="B85" s="8" t="s">
        <v>392</v>
      </c>
      <c r="C85" s="8">
        <v>1</v>
      </c>
      <c r="D85" s="52" t="s">
        <v>446</v>
      </c>
      <c r="E85" s="52" t="str">
        <f>CONCATENATE(A85,"sfb","wb0",C85)</f>
        <v>dsfbwb01</v>
      </c>
      <c r="F85" s="52" t="str">
        <f t="shared" ref="F85:F98" si="263">CONCATENATE(A85,"sfb","ap0",C85)</f>
        <v>dsfbap01</v>
      </c>
      <c r="G85" s="9" t="s">
        <v>413</v>
      </c>
      <c r="H85" s="33" t="str">
        <f>VLOOKUP(G85,'Domain별 코드 체계'!$B$5:$J$29,7,0)</f>
        <v>SV11</v>
      </c>
      <c r="I85" s="126" t="s">
        <v>5</v>
      </c>
      <c r="J85" s="10" t="str">
        <f>CONCATENATE(UPPER(IF(A85="d","D",A85)),"-",H85,"-",I85)</f>
        <v>D-SV11-O</v>
      </c>
      <c r="K85" s="136" t="s">
        <v>88</v>
      </c>
      <c r="L85" s="65">
        <v>1</v>
      </c>
      <c r="M85" s="57" t="str">
        <f t="shared" ref="M85:M98" si="264">CONCATENATE(J85,"-",K85,C85,L85)</f>
        <v>D-SV11-O-F11</v>
      </c>
      <c r="N85" s="59" t="str">
        <f>IF(K85="S",9, "8")&amp;VLOOKUP(H85,'WAS Domain'!$E$11:$I$27,3,0)&amp;VLOOKUP(H85,'WAS Domain'!$E$11:$I$27,4,0)&amp;IF(RIGHT(H85,1)="1",L85,RIGHT(H85,1))</f>
        <v>8111</v>
      </c>
      <c r="O85" s="59">
        <f t="shared" ref="O85:O98" si="265">N85+443</f>
        <v>8554</v>
      </c>
      <c r="P85" s="59" t="str">
        <f>VLOOKUP(H85,'WAS Domain'!$E$11:$I$26,2,0)&amp;VLOOKUP(H85,'WAS Domain'!$E$11:$I$26,3,0)&amp;VLOOKUP(H85,'WAS Domain'!$E$11:$I$26,4,0)&amp;VLOOKUP(H85,'WAS Domain'!$E$11:$I$26,5,0)&amp;IF(K85="A",0,IF(K85="F",L85,IF(LEFT(H85,3)="FWM",L85,9)))</f>
        <v>11111</v>
      </c>
      <c r="Q85" s="58">
        <f t="shared" si="194"/>
        <v>11040</v>
      </c>
      <c r="R85" s="58">
        <f t="shared" si="195"/>
        <v>13021</v>
      </c>
      <c r="S85" s="58">
        <f t="shared" si="239"/>
        <v>13030</v>
      </c>
      <c r="T85" s="58">
        <f t="shared" si="196"/>
        <v>3031</v>
      </c>
      <c r="U85" s="58"/>
      <c r="V85" s="58"/>
      <c r="W85" s="57" t="s">
        <v>279</v>
      </c>
      <c r="X85" s="57" t="str">
        <f t="shared" ref="X85:X98" si="266">IF(K85="A","",CONCATENATE(J85,"-A11"))</f>
        <v>D-SV11-O-A11</v>
      </c>
      <c r="Y85" s="57">
        <f t="shared" ref="Y85:Y98" si="267">IF(K85="A",512,IF(K85="F",2048,IF(K85="S",1024)))</f>
        <v>2048</v>
      </c>
      <c r="Z85" s="57">
        <f t="shared" ref="Z85:Z98" si="268">IF(K85="A","",IF(K85="F",(Y85/16)*6,IF(K85="S",Y85/4)))</f>
        <v>768</v>
      </c>
      <c r="AA85" s="57">
        <f t="shared" ref="AA85:AA98" si="269">Z85</f>
        <v>768</v>
      </c>
      <c r="AB85" s="57">
        <f t="shared" ref="AB85:AB98" si="270">IF(K85="A","",IF(K85="F",(Y85/16)*4,IF(K85="S",Y85/4)))</f>
        <v>512</v>
      </c>
      <c r="AC85" s="57">
        <f t="shared" ref="AC85:AC98" si="271">AB85</f>
        <v>512</v>
      </c>
      <c r="AD85" s="65" t="s">
        <v>80</v>
      </c>
      <c r="AE85" s="57" t="str">
        <f>CONCATENATE("/",LOWER(B85),"/",LOWER(LEFT(H85,4)),"/wasApp")</f>
        <v>/sv1/sv11/wasApp</v>
      </c>
      <c r="AF85" s="57" t="str">
        <f>CONCATENATE("/log/jboss7/",J85,"/",M85)</f>
        <v>/log/jboss7/D-SV11-O/D-SV11-O-F11</v>
      </c>
      <c r="AG85" s="65"/>
      <c r="AH85" s="13"/>
      <c r="AI85" s="13"/>
      <c r="AJ85" s="57"/>
    </row>
    <row r="86" spans="1:36" s="51" customFormat="1" ht="16.5" customHeight="1" x14ac:dyDescent="0.3">
      <c r="A86" s="8" t="s">
        <v>345</v>
      </c>
      <c r="B86" s="8" t="s">
        <v>392</v>
      </c>
      <c r="C86" s="8">
        <v>1</v>
      </c>
      <c r="D86" s="52" t="s">
        <v>446</v>
      </c>
      <c r="E86" s="52" t="str">
        <f t="shared" ref="E86:E88" si="272">CONCATENATE(A86,"sfb","wb0",C86)</f>
        <v>dsfbwb01</v>
      </c>
      <c r="F86" s="52" t="str">
        <f t="shared" si="263"/>
        <v>dsfbap01</v>
      </c>
      <c r="G86" s="9" t="s">
        <v>413</v>
      </c>
      <c r="H86" s="33" t="str">
        <f>VLOOKUP(G86,'Domain별 코드 체계'!$B$5:$J$29,7,0)</f>
        <v>SV11</v>
      </c>
      <c r="I86" s="126" t="s">
        <v>5</v>
      </c>
      <c r="J86" s="10" t="str">
        <f t="shared" ref="J86:J98" si="273">CONCATENATE(UPPER(IF(A86="d","D",A86)),"-",H86,"-",I86)</f>
        <v>D-SV11-O</v>
      </c>
      <c r="K86" s="136" t="s">
        <v>88</v>
      </c>
      <c r="L86" s="65">
        <v>2</v>
      </c>
      <c r="M86" s="57" t="str">
        <f t="shared" si="264"/>
        <v>D-SV11-O-F12</v>
      </c>
      <c r="N86" s="158" t="str">
        <f>IF(K86="S",9, "8")&amp;VLOOKUP(H86,'WAS Domain'!$E$11:$I$27,3,0)&amp;VLOOKUP(H86,'WAS Domain'!$E$11:$I$27,4,0)&amp;IF(RIGHT(H86,1)="1",L86,RIGHT(H86,1))</f>
        <v>8112</v>
      </c>
      <c r="O86" s="158">
        <f t="shared" si="265"/>
        <v>8555</v>
      </c>
      <c r="P86" s="59" t="str">
        <f>VLOOKUP(H86,'WAS Domain'!$E$11:$I$26,2,0)&amp;VLOOKUP(H86,'WAS Domain'!$E$11:$I$26,3,0)&amp;VLOOKUP(H86,'WAS Domain'!$E$11:$I$26,4,0)&amp;VLOOKUP(H86,'WAS Domain'!$E$11:$I$26,5,0)&amp;IF(K86="A",0,IF(K86="F",L86,IF(LEFT(H86,3)="FWM",L86,9)))</f>
        <v>11112</v>
      </c>
      <c r="Q86" s="58">
        <f t="shared" si="194"/>
        <v>11041</v>
      </c>
      <c r="R86" s="58">
        <f t="shared" si="195"/>
        <v>13022</v>
      </c>
      <c r="S86" s="58">
        <f t="shared" si="239"/>
        <v>13031</v>
      </c>
      <c r="T86" s="58">
        <f t="shared" si="196"/>
        <v>3032</v>
      </c>
      <c r="U86" s="58"/>
      <c r="V86" s="58"/>
      <c r="W86" s="57" t="s">
        <v>279</v>
      </c>
      <c r="X86" s="57" t="str">
        <f t="shared" si="266"/>
        <v>D-SV11-O-A11</v>
      </c>
      <c r="Y86" s="57">
        <f t="shared" si="267"/>
        <v>2048</v>
      </c>
      <c r="Z86" s="57">
        <f t="shared" si="268"/>
        <v>768</v>
      </c>
      <c r="AA86" s="57">
        <f t="shared" si="269"/>
        <v>768</v>
      </c>
      <c r="AB86" s="57">
        <f t="shared" si="270"/>
        <v>512</v>
      </c>
      <c r="AC86" s="57">
        <f t="shared" si="271"/>
        <v>512</v>
      </c>
      <c r="AD86" s="65" t="s">
        <v>80</v>
      </c>
      <c r="AE86" s="57" t="str">
        <f>CONCATENATE("/",LOWER(B86),"/",LOWER(LEFT(H86,4)),"/wasApp")</f>
        <v>/sv1/sv11/wasApp</v>
      </c>
      <c r="AF86" s="57" t="str">
        <f t="shared" ref="AF86:AF91" si="274">CONCATENATE("/log/jboss7/",J86,"/",M86)</f>
        <v>/log/jboss7/D-SV11-O/D-SV11-O-F12</v>
      </c>
      <c r="AG86" s="65"/>
      <c r="AH86" s="13"/>
      <c r="AI86" s="13"/>
      <c r="AJ86" s="57"/>
    </row>
    <row r="87" spans="1:36" s="51" customFormat="1" ht="16.5" customHeight="1" x14ac:dyDescent="0.3">
      <c r="A87" s="8" t="s">
        <v>345</v>
      </c>
      <c r="B87" s="8" t="s">
        <v>392</v>
      </c>
      <c r="C87" s="8">
        <v>1</v>
      </c>
      <c r="D87" s="52" t="s">
        <v>446</v>
      </c>
      <c r="E87" s="52" t="str">
        <f t="shared" si="272"/>
        <v>dsfbwb01</v>
      </c>
      <c r="F87" s="52" t="str">
        <f t="shared" si="263"/>
        <v>dsfbap01</v>
      </c>
      <c r="G87" s="9" t="s">
        <v>396</v>
      </c>
      <c r="H87" s="33" t="str">
        <f>VLOOKUP(G87,'Domain별 코드 체계'!$B$5:$J$29,7,0)</f>
        <v>SV12</v>
      </c>
      <c r="I87" s="126" t="s">
        <v>5</v>
      </c>
      <c r="J87" s="10" t="str">
        <f t="shared" si="273"/>
        <v>D-SV12-O</v>
      </c>
      <c r="K87" s="136" t="s">
        <v>377</v>
      </c>
      <c r="L87" s="65">
        <v>1</v>
      </c>
      <c r="M87" s="57" t="str">
        <f t="shared" si="264"/>
        <v>D-SV12-O-S11</v>
      </c>
      <c r="N87" s="158" t="str">
        <f>IF(K87="S",9, "8")&amp;VLOOKUP(H87,'WAS Domain'!$E$11:$I$27,3,0)&amp;VLOOKUP(H87,'WAS Domain'!$E$11:$I$27,4,0)&amp;IF(RIGHT(H87,1)="1",L87,RIGHT(H87,1))</f>
        <v>9112</v>
      </c>
      <c r="O87" s="158">
        <f t="shared" si="265"/>
        <v>9555</v>
      </c>
      <c r="P87" s="59" t="str">
        <f>VLOOKUP(H87,'WAS Domain'!$E$11:$I$26,2,0)&amp;VLOOKUP(H87,'WAS Domain'!$E$11:$I$26,3,0)&amp;VLOOKUP(H87,'WAS Domain'!$E$11:$I$26,4,0)&amp;VLOOKUP(H87,'WAS Domain'!$E$11:$I$26,5,0)&amp;IF(K87="A",0,IF(K87="F",L87,IF(LEFT(H87,3)="FWM",L87,9)))</f>
        <v>11129</v>
      </c>
      <c r="Q87" s="58">
        <f t="shared" si="194"/>
        <v>11058</v>
      </c>
      <c r="R87" s="58">
        <f t="shared" si="195"/>
        <v>13039</v>
      </c>
      <c r="S87" s="58">
        <f t="shared" si="239"/>
        <v>13048</v>
      </c>
      <c r="T87" s="58">
        <f t="shared" si="196"/>
        <v>3049</v>
      </c>
      <c r="U87" s="58"/>
      <c r="V87" s="58"/>
      <c r="W87" s="57" t="s">
        <v>281</v>
      </c>
      <c r="X87" s="57" t="str">
        <f t="shared" si="266"/>
        <v>D-SV12-O-A11</v>
      </c>
      <c r="Y87" s="57">
        <f t="shared" si="267"/>
        <v>1024</v>
      </c>
      <c r="Z87" s="57">
        <f t="shared" si="268"/>
        <v>256</v>
      </c>
      <c r="AA87" s="57">
        <f t="shared" si="269"/>
        <v>256</v>
      </c>
      <c r="AB87" s="57">
        <f t="shared" si="270"/>
        <v>256</v>
      </c>
      <c r="AC87" s="57">
        <f t="shared" si="271"/>
        <v>256</v>
      </c>
      <c r="AD87" s="65" t="s">
        <v>80</v>
      </c>
      <c r="AE87" s="57" t="str">
        <f t="shared" ref="AE87:AE90" si="275">CONCATENATE("/",LOWER(B87),"/",LOWER(LEFT(H87,4)),"/wasApp")</f>
        <v>/sv1/sv12/wasApp</v>
      </c>
      <c r="AF87" s="57" t="str">
        <f t="shared" si="274"/>
        <v>/log/jboss7/D-SV12-O/D-SV12-O-S11</v>
      </c>
      <c r="AG87" s="65"/>
      <c r="AH87" s="13"/>
      <c r="AI87" s="13"/>
      <c r="AJ87" s="57"/>
    </row>
    <row r="88" spans="1:36" s="51" customFormat="1" ht="16.5" customHeight="1" x14ac:dyDescent="0.3">
      <c r="A88" s="8" t="s">
        <v>345</v>
      </c>
      <c r="B88" s="8" t="s">
        <v>392</v>
      </c>
      <c r="C88" s="8">
        <v>1</v>
      </c>
      <c r="D88" s="52" t="s">
        <v>446</v>
      </c>
      <c r="E88" s="52" t="str">
        <f t="shared" si="272"/>
        <v>dsfbwb01</v>
      </c>
      <c r="F88" s="52" t="str">
        <f t="shared" si="263"/>
        <v>dsfbap01</v>
      </c>
      <c r="G88" s="9" t="s">
        <v>412</v>
      </c>
      <c r="H88" s="33" t="str">
        <f>VLOOKUP(G88,'Domain별 코드 체계'!$B$5:$J$29,7,0)</f>
        <v>SV13</v>
      </c>
      <c r="I88" s="126" t="s">
        <v>5</v>
      </c>
      <c r="J88" s="10" t="str">
        <f t="shared" si="273"/>
        <v>D-SV13-O</v>
      </c>
      <c r="K88" s="136" t="s">
        <v>379</v>
      </c>
      <c r="L88" s="65">
        <v>1</v>
      </c>
      <c r="M88" s="57" t="str">
        <f t="shared" si="264"/>
        <v>D-SV13-O-F11</v>
      </c>
      <c r="N88" s="59" t="str">
        <f>IF(K88="S",9, "8")&amp;VLOOKUP(H88,'WAS Domain'!$E$11:$I$27,3,0)&amp;VLOOKUP(H88,'WAS Domain'!$E$11:$I$27,4,0)&amp;IF(RIGHT(H88,1)="1",L88,RIGHT(H88,1))</f>
        <v>8113</v>
      </c>
      <c r="O88" s="59">
        <v>21443</v>
      </c>
      <c r="P88" s="59" t="str">
        <f>VLOOKUP(H88,'WAS Domain'!$E$11:$I$26,2,0)&amp;VLOOKUP(H88,'WAS Domain'!$E$11:$I$26,3,0)&amp;VLOOKUP(H88,'WAS Domain'!$E$11:$I$26,4,0)&amp;VLOOKUP(H88,'WAS Domain'!$E$11:$I$26,5,0)&amp;IF(K88="A",0,IF(K88="F",L88,IF(LEFT(H88,3)="FWM",L88,9)))</f>
        <v>11131</v>
      </c>
      <c r="Q88" s="58">
        <f t="shared" si="194"/>
        <v>11060</v>
      </c>
      <c r="R88" s="58">
        <f t="shared" si="195"/>
        <v>13041</v>
      </c>
      <c r="S88" s="58">
        <f t="shared" si="239"/>
        <v>13050</v>
      </c>
      <c r="T88" s="58">
        <f t="shared" si="196"/>
        <v>3051</v>
      </c>
      <c r="U88" s="58"/>
      <c r="V88" s="58"/>
      <c r="W88" s="57" t="s">
        <v>282</v>
      </c>
      <c r="X88" s="57" t="str">
        <f t="shared" si="266"/>
        <v>D-SV13-O-A11</v>
      </c>
      <c r="Y88" s="57">
        <f t="shared" si="267"/>
        <v>2048</v>
      </c>
      <c r="Z88" s="57">
        <f t="shared" si="268"/>
        <v>768</v>
      </c>
      <c r="AA88" s="57">
        <f t="shared" si="269"/>
        <v>768</v>
      </c>
      <c r="AB88" s="57">
        <f t="shared" si="270"/>
        <v>512</v>
      </c>
      <c r="AC88" s="57">
        <f t="shared" si="271"/>
        <v>512</v>
      </c>
      <c r="AD88" s="65" t="s">
        <v>56</v>
      </c>
      <c r="AE88" s="57" t="str">
        <f t="shared" si="275"/>
        <v>/sv1/sv13/wasApp</v>
      </c>
      <c r="AF88" s="57" t="str">
        <f t="shared" si="274"/>
        <v>/log/jboss7/D-SV13-O/D-SV13-O-F11</v>
      </c>
      <c r="AG88" s="65"/>
      <c r="AH88" s="13"/>
      <c r="AI88" s="13"/>
      <c r="AJ88" s="57"/>
    </row>
    <row r="89" spans="1:36" s="51" customFormat="1" ht="16.5" customHeight="1" x14ac:dyDescent="0.3">
      <c r="A89" s="8" t="s">
        <v>345</v>
      </c>
      <c r="B89" s="75" t="s">
        <v>392</v>
      </c>
      <c r="C89" s="75">
        <v>1</v>
      </c>
      <c r="D89" s="76" t="s">
        <v>446</v>
      </c>
      <c r="E89" s="76" t="str">
        <f>CONCATENATE(A89,"sfb","wb0",C89)</f>
        <v>dsfbwb01</v>
      </c>
      <c r="F89" s="76" t="str">
        <f t="shared" ref="F89" si="276">CONCATENATE(A89,"sfb","ap0",C89)</f>
        <v>dsfbap01</v>
      </c>
      <c r="G89" s="73" t="s">
        <v>414</v>
      </c>
      <c r="H89" s="77" t="str">
        <f>VLOOKUP(G89,'Domain별 코드 체계'!$B$5:$J$29,7,0)</f>
        <v>SV14</v>
      </c>
      <c r="I89" s="127" t="s">
        <v>375</v>
      </c>
      <c r="J89" s="10" t="str">
        <f t="shared" ref="J89" si="277">CONCATENATE(UPPER(IF(A89="d","D",A89)),"-",H89,"-",I89)</f>
        <v>D-SV14-O</v>
      </c>
      <c r="K89" s="137" t="s">
        <v>308</v>
      </c>
      <c r="L89" s="79">
        <v>1</v>
      </c>
      <c r="M89" s="80" t="str">
        <f t="shared" ref="M89" si="278">CONCATENATE(J89,"-",K89,C89,L89)</f>
        <v>D-SV14-O-S11</v>
      </c>
      <c r="N89" s="59" t="str">
        <f>IF(K89="S",9, "8")&amp;VLOOKUP(H89,'WAS Domain'!$E$11:$I$27,3,0)&amp;VLOOKUP(H89,'WAS Domain'!$E$11:$I$27,4,0)&amp;IF(RIGHT(H89,1)="1",L89,RIGHT(H89,1))</f>
        <v>9114</v>
      </c>
      <c r="O89" s="59">
        <f t="shared" ref="O89" si="279">N89+443</f>
        <v>9557</v>
      </c>
      <c r="P89" s="59" t="str">
        <f>VLOOKUP(H89,'WAS Domain'!$E$11:$I$26,2,0)&amp;VLOOKUP(H89,'WAS Domain'!$E$11:$I$26,3,0)&amp;VLOOKUP(H89,'WAS Domain'!$E$11:$I$26,4,0)&amp;VLOOKUP(H89,'WAS Domain'!$E$11:$I$26,5,0)&amp;IF(K89="A",0,IF(K89="F",L89,IF(LEFT(H89,3)="FWM",L89,9)))</f>
        <v>11149</v>
      </c>
      <c r="Q89" s="58">
        <f t="shared" ref="Q89" si="280">T89+8009</f>
        <v>11078</v>
      </c>
      <c r="R89" s="58">
        <f t="shared" ref="R89" si="281">T89+9990</f>
        <v>13059</v>
      </c>
      <c r="S89" s="58">
        <f t="shared" ref="S89" si="282">T89+9999</f>
        <v>13068</v>
      </c>
      <c r="T89" s="58">
        <f t="shared" ref="T89" si="283">P89-8080</f>
        <v>3069</v>
      </c>
      <c r="U89" s="81"/>
      <c r="V89" s="81"/>
      <c r="W89" s="80" t="s">
        <v>283</v>
      </c>
      <c r="X89" s="80" t="str">
        <f t="shared" ref="X89" si="284">IF(K89="A","",CONCATENATE(J89,"-A11"))</f>
        <v>D-SV14-O-A11</v>
      </c>
      <c r="Y89" s="80">
        <f t="shared" ref="Y89" si="285">IF(K89="A",512,IF(K89="F",2048,IF(K89="S",1024)))</f>
        <v>1024</v>
      </c>
      <c r="Z89" s="80">
        <f t="shared" ref="Z89" si="286">IF(K89="A","",IF(K89="F",(Y89/16)*6,IF(K89="S",Y89/4)))</f>
        <v>256</v>
      </c>
      <c r="AA89" s="80">
        <f t="shared" ref="AA89" si="287">Z89</f>
        <v>256</v>
      </c>
      <c r="AB89" s="80">
        <f t="shared" ref="AB89" si="288">IF(K89="A","",IF(K89="F",(Y89/16)*4,IF(K89="S",Y89/4)))</f>
        <v>256</v>
      </c>
      <c r="AC89" s="80">
        <f t="shared" ref="AC89" si="289">AB89</f>
        <v>256</v>
      </c>
      <c r="AD89" s="79" t="s">
        <v>80</v>
      </c>
      <c r="AE89" s="57" t="str">
        <f t="shared" si="275"/>
        <v>/sv1/sv14/wasApp</v>
      </c>
      <c r="AF89" s="80" t="str">
        <f t="shared" ref="AF89" si="290">CONCATENATE("/log/jboss7/",J89,"/",M89)</f>
        <v>/log/jboss7/D-SV14-O/D-SV14-O-S11</v>
      </c>
      <c r="AG89" s="79"/>
      <c r="AH89" s="82"/>
      <c r="AI89" s="82"/>
      <c r="AJ89" s="80"/>
    </row>
    <row r="90" spans="1:36" s="51" customFormat="1" ht="16.5" customHeight="1" x14ac:dyDescent="0.3">
      <c r="A90" s="8" t="s">
        <v>345</v>
      </c>
      <c r="B90" s="75" t="s">
        <v>392</v>
      </c>
      <c r="C90" s="75">
        <v>1</v>
      </c>
      <c r="D90" s="76" t="s">
        <v>446</v>
      </c>
      <c r="E90" s="76" t="str">
        <f>CONCATENATE(A90,"sfb","wb0",C90)</f>
        <v>dsfbwb01</v>
      </c>
      <c r="F90" s="76" t="str">
        <f t="shared" ref="F90" si="291">CONCATENATE(A90,"sfb","ap0",C90)</f>
        <v>dsfbap01</v>
      </c>
      <c r="G90" s="262" t="s">
        <v>483</v>
      </c>
      <c r="H90" s="77" t="str">
        <f>VLOOKUP(G90,'Domain별 코드 체계'!$B$5:$J$29,7,0)</f>
        <v>SV15</v>
      </c>
      <c r="I90" s="127" t="s">
        <v>375</v>
      </c>
      <c r="J90" s="10" t="str">
        <f t="shared" ref="J90" si="292">CONCATENATE(UPPER(IF(A90="d","D",A90)),"-",H90,"-",I90)</f>
        <v>D-SV15-O</v>
      </c>
      <c r="K90" s="137" t="s">
        <v>88</v>
      </c>
      <c r="L90" s="79">
        <v>1</v>
      </c>
      <c r="M90" s="80" t="str">
        <f t="shared" ref="M90" si="293">CONCATENATE(J90,"-",K90,C90,L90)</f>
        <v>D-SV15-O-F11</v>
      </c>
      <c r="N90" s="158" t="str">
        <f>IF(K90="S",9, "8")&amp;VLOOKUP(H90,'WAS Domain'!$E$11:$I$27,3,0)&amp;VLOOKUP(H90,'WAS Domain'!$E$11:$I$27,4,0)&amp;IF(RIGHT(H90,1)="1",L90,RIGHT(H90,1))</f>
        <v>8115</v>
      </c>
      <c r="O90" s="158">
        <f t="shared" ref="O90" si="294">N90+443</f>
        <v>8558</v>
      </c>
      <c r="P90" s="158" t="str">
        <f>VLOOKUP(H90,'WAS Domain'!$E$11:$I$26,2,0)&amp;VLOOKUP(H90,'WAS Domain'!$E$11:$I$26,3,0)&amp;VLOOKUP(H90,'WAS Domain'!$E$11:$I$26,4,0)&amp;VLOOKUP(H90,'WAS Domain'!$E$11:$I$26,5,0)&amp;IF(K90="A",0,IF(K90="F",L90,IF(LEFT(H90,3)="FWM",L90,9)))</f>
        <v>11151</v>
      </c>
      <c r="Q90" s="190">
        <f t="shared" ref="Q90" si="295">T90+8009</f>
        <v>11080</v>
      </c>
      <c r="R90" s="190">
        <f t="shared" ref="R90" si="296">T90+9990</f>
        <v>13061</v>
      </c>
      <c r="S90" s="190">
        <f t="shared" ref="S90" si="297">T90+9999</f>
        <v>13070</v>
      </c>
      <c r="T90" s="190">
        <f t="shared" ref="T90" si="298">P90-8080</f>
        <v>3071</v>
      </c>
      <c r="U90" s="188"/>
      <c r="V90" s="188"/>
      <c r="W90" s="80" t="s">
        <v>283</v>
      </c>
      <c r="X90" s="80" t="str">
        <f t="shared" ref="X90" si="299">IF(K90="A","",CONCATENATE(J90,"-A11"))</f>
        <v>D-SV15-O-A11</v>
      </c>
      <c r="Y90" s="80">
        <f t="shared" ref="Y90" si="300">IF(K90="A",512,IF(K90="F",2048,IF(K90="S",1024)))</f>
        <v>2048</v>
      </c>
      <c r="Z90" s="80">
        <f t="shared" ref="Z90" si="301">IF(K90="A","",IF(K90="F",(Y90/16)*6,IF(K90="S",Y90/4)))</f>
        <v>768</v>
      </c>
      <c r="AA90" s="80">
        <f t="shared" ref="AA90" si="302">Z90</f>
        <v>768</v>
      </c>
      <c r="AB90" s="80">
        <f t="shared" ref="AB90" si="303">IF(K90="A","",IF(K90="F",(Y90/16)*4,IF(K90="S",Y90/4)))</f>
        <v>512</v>
      </c>
      <c r="AC90" s="80">
        <f t="shared" ref="AC90" si="304">AB90</f>
        <v>512</v>
      </c>
      <c r="AD90" s="79" t="s">
        <v>80</v>
      </c>
      <c r="AE90" s="57" t="str">
        <f t="shared" si="275"/>
        <v>/sv1/sv15/wasApp</v>
      </c>
      <c r="AF90" s="80" t="str">
        <f t="shared" ref="AF90" si="305">CONCATENATE("/log/jboss7/",J90,"/",M90)</f>
        <v>/log/jboss7/D-SV15-O/D-SV15-O-F11</v>
      </c>
      <c r="AG90" s="79"/>
      <c r="AH90" s="82"/>
      <c r="AI90" s="82"/>
      <c r="AJ90" s="80"/>
    </row>
    <row r="91" spans="1:36" s="51" customFormat="1" ht="16.5" customHeight="1" thickBot="1" x14ac:dyDescent="0.35">
      <c r="A91" s="8" t="s">
        <v>345</v>
      </c>
      <c r="B91" s="75" t="s">
        <v>455</v>
      </c>
      <c r="C91" s="75">
        <v>1</v>
      </c>
      <c r="D91" s="76" t="s">
        <v>446</v>
      </c>
      <c r="E91" s="76" t="str">
        <f>CONCATENATE(A91,"sfb","wb0",C91)</f>
        <v>dsfbwb01</v>
      </c>
      <c r="F91" s="76" t="str">
        <f t="shared" si="263"/>
        <v>dsfbap01</v>
      </c>
      <c r="G91" s="73" t="s">
        <v>463</v>
      </c>
      <c r="H91" s="77" t="str">
        <f>VLOOKUP(G91,'Domain별 코드 체계'!$B$5:$J$30,7,0)</f>
        <v>SF11</v>
      </c>
      <c r="I91" s="127" t="s">
        <v>375</v>
      </c>
      <c r="J91" s="10" t="str">
        <f t="shared" si="273"/>
        <v>D-SF11-O</v>
      </c>
      <c r="K91" s="137" t="s">
        <v>88</v>
      </c>
      <c r="L91" s="79">
        <v>1</v>
      </c>
      <c r="M91" s="80" t="str">
        <f t="shared" si="264"/>
        <v>D-SF11-O-F11</v>
      </c>
      <c r="N91" s="118" t="str">
        <f>IF(K91="S",9, "8")&amp;VLOOKUP(H91,'WAS Domain'!$E$11:$I$27,3,0)&amp;VLOOKUP(H91,'WAS Domain'!$E$11:$I$27,4,0)&amp;IF(RIGHT(H91,1)="1",L91,RIGHT(H91,1))</f>
        <v>8121</v>
      </c>
      <c r="O91" s="118">
        <f t="shared" si="265"/>
        <v>8564</v>
      </c>
      <c r="P91" s="189" t="str">
        <f>VLOOKUP(H91,'WAS Domain'!$E$11:$I$27,2,0)&amp;VLOOKUP(H91,'WAS Domain'!$E$11:$I$27,3,0)&amp;VLOOKUP(H91,'WAS Domain'!$E$11:$I$27,4,0)&amp;VLOOKUP(H91,'WAS Domain'!$E$11:$I$27,5,0)&amp;IF(K91="A",0,IF(K91="F",L91,IF(LEFT(H91,3)="FWM",L91,9)))</f>
        <v>11211</v>
      </c>
      <c r="Q91" s="191">
        <f t="shared" si="194"/>
        <v>11140</v>
      </c>
      <c r="R91" s="191">
        <f t="shared" si="195"/>
        <v>13121</v>
      </c>
      <c r="S91" s="191">
        <f t="shared" si="239"/>
        <v>13130</v>
      </c>
      <c r="T91" s="191">
        <f t="shared" si="196"/>
        <v>3131</v>
      </c>
      <c r="U91" s="192"/>
      <c r="V91" s="192"/>
      <c r="W91" s="80" t="s">
        <v>283</v>
      </c>
      <c r="X91" s="80" t="str">
        <f t="shared" si="266"/>
        <v>D-SF11-O-A11</v>
      </c>
      <c r="Y91" s="80">
        <f t="shared" si="267"/>
        <v>2048</v>
      </c>
      <c r="Z91" s="80">
        <f t="shared" si="268"/>
        <v>768</v>
      </c>
      <c r="AA91" s="80">
        <f t="shared" si="269"/>
        <v>768</v>
      </c>
      <c r="AB91" s="80">
        <f t="shared" si="270"/>
        <v>512</v>
      </c>
      <c r="AC91" s="80">
        <f t="shared" si="271"/>
        <v>512</v>
      </c>
      <c r="AD91" s="79" t="s">
        <v>80</v>
      </c>
      <c r="AE91" s="109" t="str">
        <f>CONCATENATE("/",LOWER(B91),"/",LOWER(LEFT(H91,4)),"/wasApp")</f>
        <v>/sf1/sf11/wasApp</v>
      </c>
      <c r="AF91" s="80" t="str">
        <f t="shared" si="274"/>
        <v>/log/jboss7/D-SF11-O/D-SF11-O-F11</v>
      </c>
      <c r="AG91" s="79"/>
      <c r="AH91" s="82"/>
      <c r="AI91" s="82"/>
      <c r="AJ91" s="80"/>
    </row>
    <row r="92" spans="1:36" s="51" customFormat="1" ht="16.5" customHeight="1" x14ac:dyDescent="0.3">
      <c r="A92" s="8" t="s">
        <v>345</v>
      </c>
      <c r="B92" s="90" t="s">
        <v>392</v>
      </c>
      <c r="C92" s="90">
        <v>2</v>
      </c>
      <c r="D92" s="91" t="s">
        <v>447</v>
      </c>
      <c r="E92" s="91" t="str">
        <f>CONCATENATE(A92,"sfb","wb0",C92)</f>
        <v>dsfbwb02</v>
      </c>
      <c r="F92" s="91" t="str">
        <f t="shared" si="263"/>
        <v>dsfbap02</v>
      </c>
      <c r="G92" s="92" t="s">
        <v>415</v>
      </c>
      <c r="H92" s="93" t="str">
        <f>VLOOKUP(G92,'Domain별 코드 체계'!$B$5:$J$29,7,0)</f>
        <v>SV11</v>
      </c>
      <c r="I92" s="128" t="s">
        <v>5</v>
      </c>
      <c r="J92" s="10" t="str">
        <f t="shared" si="273"/>
        <v>D-SV11-O</v>
      </c>
      <c r="K92" s="138" t="s">
        <v>88</v>
      </c>
      <c r="L92" s="95">
        <v>1</v>
      </c>
      <c r="M92" s="96" t="str">
        <f t="shared" si="264"/>
        <v>D-SV11-O-F21</v>
      </c>
      <c r="N92" s="59" t="str">
        <f>IF(K92="S",9, "8")&amp;VLOOKUP(H92,'WAS Domain'!$E$11:$I$27,3,0)&amp;VLOOKUP(H92,'WAS Domain'!$E$11:$I$27,4,0)&amp;IF(RIGHT(H92,1)="1",L92,RIGHT(H92,1))</f>
        <v>8111</v>
      </c>
      <c r="O92" s="59">
        <f t="shared" si="265"/>
        <v>8554</v>
      </c>
      <c r="P92" s="151" t="str">
        <f>VLOOKUP(H92,'WAS Domain'!$E$11:$I$26,2,0)&amp;VLOOKUP(H92,'WAS Domain'!$E$11:$I$26,3,0)&amp;VLOOKUP(H92,'WAS Domain'!$E$11:$I$26,4,0)&amp;VLOOKUP(H92,'WAS Domain'!$E$11:$I$26,5,0)&amp;IF(K92="A",0,IF(K92="F",L92,IF(LEFT(H92,3)="FWM",L92,9)))</f>
        <v>11111</v>
      </c>
      <c r="Q92" s="145">
        <f t="shared" si="194"/>
        <v>11040</v>
      </c>
      <c r="R92" s="145">
        <f t="shared" si="195"/>
        <v>13021</v>
      </c>
      <c r="S92" s="145">
        <f t="shared" si="239"/>
        <v>13030</v>
      </c>
      <c r="T92" s="145">
        <f t="shared" si="196"/>
        <v>3031</v>
      </c>
      <c r="U92" s="96"/>
      <c r="V92" s="96"/>
      <c r="W92" s="96" t="s">
        <v>279</v>
      </c>
      <c r="X92" s="96" t="str">
        <f t="shared" si="266"/>
        <v>D-SV11-O-A11</v>
      </c>
      <c r="Y92" s="96">
        <f t="shared" si="267"/>
        <v>2048</v>
      </c>
      <c r="Z92" s="96">
        <f t="shared" si="268"/>
        <v>768</v>
      </c>
      <c r="AA92" s="96">
        <f t="shared" si="269"/>
        <v>768</v>
      </c>
      <c r="AB92" s="96">
        <f t="shared" si="270"/>
        <v>512</v>
      </c>
      <c r="AC92" s="96">
        <f t="shared" si="271"/>
        <v>512</v>
      </c>
      <c r="AD92" s="95" t="s">
        <v>80</v>
      </c>
      <c r="AE92" s="143" t="str">
        <f>CONCATENATE("/",LOWER(B92),"/",LOWER(LEFT(H92,4)),"/wasApp")</f>
        <v>/sv1/sv11/wasApp</v>
      </c>
      <c r="AF92" s="96" t="str">
        <f>CONCATENATE("/log/jboss7/",J92,"/",M92)</f>
        <v>/log/jboss7/D-SV11-O/D-SV11-O-F21</v>
      </c>
      <c r="AG92" s="95"/>
      <c r="AH92" s="98"/>
      <c r="AI92" s="98"/>
      <c r="AJ92" s="99"/>
    </row>
    <row r="93" spans="1:36" s="51" customFormat="1" ht="16.5" customHeight="1" x14ac:dyDescent="0.3">
      <c r="A93" s="8" t="s">
        <v>345</v>
      </c>
      <c r="B93" s="8" t="s">
        <v>393</v>
      </c>
      <c r="C93" s="8">
        <v>2</v>
      </c>
      <c r="D93" s="52" t="s">
        <v>447</v>
      </c>
      <c r="E93" s="52" t="str">
        <f>CONCATENATE(A93,"sfb","wb0",C93)</f>
        <v>dsfbwb02</v>
      </c>
      <c r="F93" s="52" t="str">
        <f t="shared" si="263"/>
        <v>dsfbap02</v>
      </c>
      <c r="G93" s="9" t="s">
        <v>413</v>
      </c>
      <c r="H93" s="33" t="str">
        <f>VLOOKUP(G93,'Domain별 코드 체계'!$B$5:$J$29,7,0)</f>
        <v>SV11</v>
      </c>
      <c r="I93" s="126" t="s">
        <v>5</v>
      </c>
      <c r="J93" s="10" t="str">
        <f t="shared" si="273"/>
        <v>D-SV11-O</v>
      </c>
      <c r="K93" s="136" t="s">
        <v>88</v>
      </c>
      <c r="L93" s="65">
        <v>2</v>
      </c>
      <c r="M93" s="57" t="str">
        <f t="shared" si="264"/>
        <v>D-SV11-O-F22</v>
      </c>
      <c r="N93" s="158" t="str">
        <f>IF(K93="S",9, "8")&amp;VLOOKUP(H93,'WAS Domain'!$E$11:$I$27,3,0)&amp;VLOOKUP(H93,'WAS Domain'!$E$11:$I$27,4,0)&amp;IF(RIGHT(H93,1)="1",L93,RIGHT(H93,1))</f>
        <v>8112</v>
      </c>
      <c r="O93" s="158">
        <f t="shared" si="265"/>
        <v>8555</v>
      </c>
      <c r="P93" s="59" t="str">
        <f>VLOOKUP(H93,'WAS Domain'!$E$11:$I$26,2,0)&amp;VLOOKUP(H93,'WAS Domain'!$E$11:$I$26,3,0)&amp;VLOOKUP(H93,'WAS Domain'!$E$11:$I$26,4,0)&amp;VLOOKUP(H93,'WAS Domain'!$E$11:$I$26,5,0)&amp;IF(K93="A",0,IF(K93="F",L93,IF(LEFT(H93,3)="FWM",L93,9)))</f>
        <v>11112</v>
      </c>
      <c r="Q93" s="58">
        <f t="shared" si="194"/>
        <v>11041</v>
      </c>
      <c r="R93" s="58">
        <f t="shared" si="195"/>
        <v>13022</v>
      </c>
      <c r="S93" s="58">
        <f t="shared" si="239"/>
        <v>13031</v>
      </c>
      <c r="T93" s="58">
        <f t="shared" si="196"/>
        <v>3032</v>
      </c>
      <c r="U93" s="58"/>
      <c r="V93" s="58"/>
      <c r="W93" s="57" t="s">
        <v>279</v>
      </c>
      <c r="X93" s="57" t="str">
        <f t="shared" si="266"/>
        <v>D-SV11-O-A11</v>
      </c>
      <c r="Y93" s="57">
        <f t="shared" si="267"/>
        <v>2048</v>
      </c>
      <c r="Z93" s="57">
        <f t="shared" si="268"/>
        <v>768</v>
      </c>
      <c r="AA93" s="57">
        <f t="shared" si="269"/>
        <v>768</v>
      </c>
      <c r="AB93" s="57">
        <f t="shared" si="270"/>
        <v>512</v>
      </c>
      <c r="AC93" s="57">
        <f t="shared" si="271"/>
        <v>512</v>
      </c>
      <c r="AD93" s="65" t="s">
        <v>80</v>
      </c>
      <c r="AE93" s="57" t="str">
        <f>CONCATENATE("/",LOWER(B93),"/",LOWER(LEFT(H93,4)),"/wasApp")</f>
        <v>/sv1/sv11/wasApp</v>
      </c>
      <c r="AF93" s="57" t="str">
        <f t="shared" ref="AF93:AF98" si="306">CONCATENATE("/log/jboss7/",J93,"/",M93)</f>
        <v>/log/jboss7/D-SV11-O/D-SV11-O-F22</v>
      </c>
      <c r="AG93" s="65"/>
      <c r="AH93" s="13"/>
      <c r="AI93" s="13"/>
      <c r="AJ93" s="101"/>
    </row>
    <row r="94" spans="1:36" s="51" customFormat="1" ht="16.5" customHeight="1" x14ac:dyDescent="0.3">
      <c r="A94" s="8" t="s">
        <v>345</v>
      </c>
      <c r="B94" s="8" t="s">
        <v>394</v>
      </c>
      <c r="C94" s="8">
        <v>2</v>
      </c>
      <c r="D94" s="52" t="s">
        <v>447</v>
      </c>
      <c r="E94" s="52" t="str">
        <f t="shared" ref="E94:E95" si="307">CONCATENATE(A94,"sfb","wb0",C94)</f>
        <v>dsfbwb02</v>
      </c>
      <c r="F94" s="52" t="str">
        <f t="shared" si="263"/>
        <v>dsfbap02</v>
      </c>
      <c r="G94" s="9" t="s">
        <v>408</v>
      </c>
      <c r="H94" s="33" t="str">
        <f>VLOOKUP(G94,'Domain별 코드 체계'!$B$5:$J$29,7,0)</f>
        <v>SV12</v>
      </c>
      <c r="I94" s="126" t="s">
        <v>5</v>
      </c>
      <c r="J94" s="10" t="str">
        <f t="shared" si="273"/>
        <v>D-SV12-O</v>
      </c>
      <c r="K94" s="136" t="s">
        <v>377</v>
      </c>
      <c r="L94" s="65">
        <v>1</v>
      </c>
      <c r="M94" s="57" t="str">
        <f t="shared" si="264"/>
        <v>D-SV12-O-S21</v>
      </c>
      <c r="N94" s="158" t="str">
        <f>IF(K94="S",9, "8")&amp;VLOOKUP(H94,'WAS Domain'!$E$11:$I$27,3,0)&amp;VLOOKUP(H94,'WAS Domain'!$E$11:$I$27,4,0)&amp;IF(RIGHT(H94,1)="1",L94,RIGHT(H94,1))</f>
        <v>9112</v>
      </c>
      <c r="O94" s="158">
        <f t="shared" si="265"/>
        <v>9555</v>
      </c>
      <c r="P94" s="59" t="str">
        <f>VLOOKUP(H94,'WAS Domain'!$E$11:$I$26,2,0)&amp;VLOOKUP(H94,'WAS Domain'!$E$11:$I$26,3,0)&amp;VLOOKUP(H94,'WAS Domain'!$E$11:$I$26,4,0)&amp;VLOOKUP(H94,'WAS Domain'!$E$11:$I$26,5,0)&amp;IF(K94="A",0,IF(K94="F",L94,IF(LEFT(H94,3)="FWM",L94,9)))</f>
        <v>11129</v>
      </c>
      <c r="Q94" s="58">
        <f t="shared" si="194"/>
        <v>11058</v>
      </c>
      <c r="R94" s="58">
        <f t="shared" si="195"/>
        <v>13039</v>
      </c>
      <c r="S94" s="58">
        <f t="shared" si="239"/>
        <v>13048</v>
      </c>
      <c r="T94" s="58">
        <f t="shared" si="196"/>
        <v>3049</v>
      </c>
      <c r="U94" s="58"/>
      <c r="V94" s="58"/>
      <c r="W94" s="57" t="s">
        <v>281</v>
      </c>
      <c r="X94" s="57" t="str">
        <f t="shared" si="266"/>
        <v>D-SV12-O-A11</v>
      </c>
      <c r="Y94" s="57">
        <f t="shared" si="267"/>
        <v>1024</v>
      </c>
      <c r="Z94" s="57">
        <f t="shared" si="268"/>
        <v>256</v>
      </c>
      <c r="AA94" s="57">
        <f t="shared" si="269"/>
        <v>256</v>
      </c>
      <c r="AB94" s="57">
        <f t="shared" si="270"/>
        <v>256</v>
      </c>
      <c r="AC94" s="57">
        <f t="shared" si="271"/>
        <v>256</v>
      </c>
      <c r="AD94" s="65" t="s">
        <v>80</v>
      </c>
      <c r="AE94" s="57" t="str">
        <f t="shared" ref="AE94:AE97" si="308">CONCATENATE("/",LOWER(B94),"/",LOWER(LEFT(H94,4)),"/wasApp")</f>
        <v>/sv1/sv12/wasApp</v>
      </c>
      <c r="AF94" s="57" t="str">
        <f t="shared" si="306"/>
        <v>/log/jboss7/D-SV12-O/D-SV12-O-S21</v>
      </c>
      <c r="AG94" s="65"/>
      <c r="AH94" s="13"/>
      <c r="AI94" s="13"/>
      <c r="AJ94" s="101"/>
    </row>
    <row r="95" spans="1:36" s="51" customFormat="1" ht="16.5" customHeight="1" x14ac:dyDescent="0.3">
      <c r="A95" s="8" t="s">
        <v>345</v>
      </c>
      <c r="B95" s="8" t="s">
        <v>395</v>
      </c>
      <c r="C95" s="8">
        <v>2</v>
      </c>
      <c r="D95" s="52" t="s">
        <v>447</v>
      </c>
      <c r="E95" s="52" t="str">
        <f t="shared" si="307"/>
        <v>dsfbwb02</v>
      </c>
      <c r="F95" s="52" t="str">
        <f t="shared" si="263"/>
        <v>dsfbap02</v>
      </c>
      <c r="G95" s="9" t="s">
        <v>416</v>
      </c>
      <c r="H95" s="33" t="str">
        <f>VLOOKUP(G95,'Domain별 코드 체계'!$B$5:$J$29,7,0)</f>
        <v>SV13</v>
      </c>
      <c r="I95" s="126" t="s">
        <v>5</v>
      </c>
      <c r="J95" s="10" t="str">
        <f t="shared" si="273"/>
        <v>D-SV13-O</v>
      </c>
      <c r="K95" s="136" t="s">
        <v>88</v>
      </c>
      <c r="L95" s="65">
        <v>1</v>
      </c>
      <c r="M95" s="57" t="str">
        <f t="shared" si="264"/>
        <v>D-SV13-O-F21</v>
      </c>
      <c r="N95" s="59" t="str">
        <f>IF(K95="S",9, "8")&amp;VLOOKUP(H95,'WAS Domain'!$E$11:$I$27,3,0)&amp;VLOOKUP(H95,'WAS Domain'!$E$11:$I$27,4,0)&amp;IF(RIGHT(H95,1)="1",L95,RIGHT(H95,1))</f>
        <v>8113</v>
      </c>
      <c r="O95" s="59">
        <v>21443</v>
      </c>
      <c r="P95" s="59" t="str">
        <f>VLOOKUP(H95,'WAS Domain'!$E$11:$I$26,2,0)&amp;VLOOKUP(H95,'WAS Domain'!$E$11:$I$26,3,0)&amp;VLOOKUP(H95,'WAS Domain'!$E$11:$I$26,4,0)&amp;VLOOKUP(H95,'WAS Domain'!$E$11:$I$26,5,0)&amp;IF(K95="A",0,IF(K95="F",L95,IF(LEFT(H95,3)="FWM",L95,9)))</f>
        <v>11131</v>
      </c>
      <c r="Q95" s="58">
        <f t="shared" si="194"/>
        <v>11060</v>
      </c>
      <c r="R95" s="58">
        <f t="shared" si="195"/>
        <v>13041</v>
      </c>
      <c r="S95" s="58">
        <f t="shared" si="239"/>
        <v>13050</v>
      </c>
      <c r="T95" s="58">
        <f t="shared" si="196"/>
        <v>3051</v>
      </c>
      <c r="U95" s="58"/>
      <c r="V95" s="58"/>
      <c r="W95" s="57" t="s">
        <v>282</v>
      </c>
      <c r="X95" s="57" t="str">
        <f t="shared" si="266"/>
        <v>D-SV13-O-A11</v>
      </c>
      <c r="Y95" s="57">
        <f t="shared" si="267"/>
        <v>2048</v>
      </c>
      <c r="Z95" s="57">
        <f t="shared" si="268"/>
        <v>768</v>
      </c>
      <c r="AA95" s="57">
        <f t="shared" si="269"/>
        <v>768</v>
      </c>
      <c r="AB95" s="57">
        <f t="shared" si="270"/>
        <v>512</v>
      </c>
      <c r="AC95" s="57">
        <f t="shared" si="271"/>
        <v>512</v>
      </c>
      <c r="AD95" s="65" t="s">
        <v>56</v>
      </c>
      <c r="AE95" s="57" t="str">
        <f t="shared" si="308"/>
        <v>/sv1/sv13/wasApp</v>
      </c>
      <c r="AF95" s="57" t="str">
        <f t="shared" si="306"/>
        <v>/log/jboss7/D-SV13-O/D-SV13-O-F21</v>
      </c>
      <c r="AG95" s="65"/>
      <c r="AH95" s="13"/>
      <c r="AI95" s="13"/>
      <c r="AJ95" s="101"/>
    </row>
    <row r="96" spans="1:36" s="51" customFormat="1" ht="16.5" customHeight="1" x14ac:dyDescent="0.3">
      <c r="A96" s="8" t="s">
        <v>464</v>
      </c>
      <c r="B96" s="8" t="s">
        <v>465</v>
      </c>
      <c r="C96" s="8">
        <v>2</v>
      </c>
      <c r="D96" s="52" t="s">
        <v>466</v>
      </c>
      <c r="E96" s="52" t="str">
        <f>CONCATENATE(A96,"sfb","wb0",C96)</f>
        <v>dsfbwb02</v>
      </c>
      <c r="F96" s="52" t="str">
        <f t="shared" ref="F96" si="309">CONCATENATE(A96,"sfb","ap0",C96)</f>
        <v>dsfbap02</v>
      </c>
      <c r="G96" s="9" t="s">
        <v>467</v>
      </c>
      <c r="H96" s="33" t="str">
        <f>VLOOKUP(G96,'Domain별 코드 체계'!$B$5:$J$29,7,0)</f>
        <v>SV14</v>
      </c>
      <c r="I96" s="126" t="s">
        <v>375</v>
      </c>
      <c r="J96" s="10" t="str">
        <f t="shared" ref="J96" si="310">CONCATENATE(UPPER(IF(A96="d","D",A96)),"-",H96,"-",I96)</f>
        <v>D-SV14-O</v>
      </c>
      <c r="K96" s="136" t="s">
        <v>308</v>
      </c>
      <c r="L96" s="184">
        <v>1</v>
      </c>
      <c r="M96" s="57" t="str">
        <f t="shared" ref="M96" si="311">CONCATENATE(J96,"-",K96,C96,L96)</f>
        <v>D-SV14-O-S21</v>
      </c>
      <c r="N96" s="59" t="str">
        <f>IF(K96="S",9, "8")&amp;VLOOKUP(H96,'WAS Domain'!$E$11:$I$27,3,0)&amp;VLOOKUP(H96,'WAS Domain'!$E$11:$I$27,4,0)&amp;IF(RIGHT(H96,1)="1",L96,RIGHT(H96,1))</f>
        <v>9114</v>
      </c>
      <c r="O96" s="59">
        <f t="shared" ref="O96" si="312">N96+443</f>
        <v>9557</v>
      </c>
      <c r="P96" s="59" t="str">
        <f>VLOOKUP(H96,'WAS Domain'!$E$11:$I$26,2,0)&amp;VLOOKUP(H96,'WAS Domain'!$E$11:$I$26,3,0)&amp;VLOOKUP(H96,'WAS Domain'!$E$11:$I$26,4,0)&amp;VLOOKUP(H96,'WAS Domain'!$E$11:$I$26,5,0)&amp;IF(K96="A",0,IF(K96="F",L96,IF(LEFT(H96,3)="FWM",L96,9)))</f>
        <v>11149</v>
      </c>
      <c r="Q96" s="58">
        <f t="shared" ref="Q96" si="313">T96+8009</f>
        <v>11078</v>
      </c>
      <c r="R96" s="58">
        <f t="shared" ref="R96" si="314">T96+9990</f>
        <v>13059</v>
      </c>
      <c r="S96" s="58">
        <f t="shared" ref="S96" si="315">T96+9999</f>
        <v>13068</v>
      </c>
      <c r="T96" s="58">
        <f t="shared" ref="T96" si="316">P96-8080</f>
        <v>3069</v>
      </c>
      <c r="U96" s="58"/>
      <c r="V96" s="58"/>
      <c r="W96" s="57" t="s">
        <v>468</v>
      </c>
      <c r="X96" s="57" t="str">
        <f t="shared" ref="X96" si="317">IF(K96="A","",CONCATENATE(J96,"-A11"))</f>
        <v>D-SV14-O-A11</v>
      </c>
      <c r="Y96" s="57">
        <f t="shared" ref="Y96" si="318">IF(K96="A",512,IF(K96="F",2048,IF(K96="S",1024)))</f>
        <v>1024</v>
      </c>
      <c r="Z96" s="57">
        <f t="shared" ref="Z96" si="319">IF(K96="A","",IF(K96="F",(Y96/16)*6,IF(K96="S",Y96/4)))</f>
        <v>256</v>
      </c>
      <c r="AA96" s="57">
        <f t="shared" ref="AA96" si="320">Z96</f>
        <v>256</v>
      </c>
      <c r="AB96" s="57">
        <f t="shared" ref="AB96" si="321">IF(K96="A","",IF(K96="F",(Y96/16)*4,IF(K96="S",Y96/4)))</f>
        <v>256</v>
      </c>
      <c r="AC96" s="57">
        <f t="shared" ref="AC96" si="322">AB96</f>
        <v>256</v>
      </c>
      <c r="AD96" s="184" t="s">
        <v>469</v>
      </c>
      <c r="AE96" s="57" t="str">
        <f t="shared" si="308"/>
        <v>/sv1/sv14/wasApp</v>
      </c>
      <c r="AF96" s="57" t="str">
        <f t="shared" ref="AF96" si="323">CONCATENATE("/log/jboss7/",J96,"/",M96)</f>
        <v>/log/jboss7/D-SV14-O/D-SV14-O-S21</v>
      </c>
      <c r="AG96" s="184"/>
      <c r="AH96" s="13"/>
      <c r="AI96" s="13"/>
      <c r="AJ96" s="101"/>
    </row>
    <row r="97" spans="1:36" s="51" customFormat="1" ht="16.5" customHeight="1" x14ac:dyDescent="0.3">
      <c r="A97" s="8" t="s">
        <v>464</v>
      </c>
      <c r="B97" s="8" t="s">
        <v>465</v>
      </c>
      <c r="C97" s="8">
        <v>2</v>
      </c>
      <c r="D97" s="52" t="s">
        <v>466</v>
      </c>
      <c r="E97" s="52" t="str">
        <f>CONCATENATE(A97,"sfb","wb0",C97)</f>
        <v>dsfbwb02</v>
      </c>
      <c r="F97" s="52" t="str">
        <f t="shared" ref="F97" si="324">CONCATENATE(A97,"sfb","ap0",C97)</f>
        <v>dsfbap02</v>
      </c>
      <c r="G97" s="261" t="s">
        <v>483</v>
      </c>
      <c r="H97" s="33" t="str">
        <f>VLOOKUP(G97,'Domain별 코드 체계'!$B$5:$J$29,7,0)</f>
        <v>SV15</v>
      </c>
      <c r="I97" s="126" t="s">
        <v>375</v>
      </c>
      <c r="J97" s="10" t="str">
        <f t="shared" ref="J97" si="325">CONCATENATE(UPPER(IF(A97="d","D",A97)),"-",H97,"-",I97)</f>
        <v>D-SV15-O</v>
      </c>
      <c r="K97" s="136" t="s">
        <v>88</v>
      </c>
      <c r="L97" s="204">
        <v>1</v>
      </c>
      <c r="M97" s="57" t="str">
        <f t="shared" ref="M97" si="326">CONCATENATE(J97,"-",K97,C97,L97)</f>
        <v>D-SV15-O-F21</v>
      </c>
      <c r="N97" s="158" t="str">
        <f>IF(K97="S",9, "8")&amp;VLOOKUP(H97,'WAS Domain'!$E$11:$I$27,3,0)&amp;VLOOKUP(H97,'WAS Domain'!$E$11:$I$27,4,0)&amp;IF(RIGHT(H97,1)="1",L97,RIGHT(H97,1))</f>
        <v>8115</v>
      </c>
      <c r="O97" s="158">
        <f t="shared" ref="O97" si="327">N97+443</f>
        <v>8558</v>
      </c>
      <c r="P97" s="158" t="str">
        <f>VLOOKUP(H97,'WAS Domain'!$E$11:$I$26,2,0)&amp;VLOOKUP(H97,'WAS Domain'!$E$11:$I$26,3,0)&amp;VLOOKUP(H97,'WAS Domain'!$E$11:$I$26,4,0)&amp;VLOOKUP(H97,'WAS Domain'!$E$11:$I$26,5,0)&amp;IF(K97="A",0,IF(K97="F",L97,IF(LEFT(H97,3)="FWM",L97,9)))</f>
        <v>11151</v>
      </c>
      <c r="Q97" s="190">
        <f t="shared" ref="Q97" si="328">T97+8009</f>
        <v>11080</v>
      </c>
      <c r="R97" s="190">
        <f t="shared" ref="R97" si="329">T97+9990</f>
        <v>13061</v>
      </c>
      <c r="S97" s="190">
        <f t="shared" ref="S97" si="330">T97+9999</f>
        <v>13070</v>
      </c>
      <c r="T97" s="190">
        <f t="shared" ref="T97" si="331">P97-8080</f>
        <v>3071</v>
      </c>
      <c r="U97" s="58"/>
      <c r="V97" s="58"/>
      <c r="W97" s="57" t="s">
        <v>468</v>
      </c>
      <c r="X97" s="57" t="str">
        <f t="shared" ref="X97" si="332">IF(K97="A","",CONCATENATE(J97,"-A11"))</f>
        <v>D-SV15-O-A11</v>
      </c>
      <c r="Y97" s="57">
        <f t="shared" ref="Y97" si="333">IF(K97="A",512,IF(K97="F",2048,IF(K97="S",1024)))</f>
        <v>2048</v>
      </c>
      <c r="Z97" s="57">
        <f t="shared" ref="Z97" si="334">IF(K97="A","",IF(K97="F",(Y97/16)*6,IF(K97="S",Y97/4)))</f>
        <v>768</v>
      </c>
      <c r="AA97" s="57">
        <f t="shared" ref="AA97" si="335">Z97</f>
        <v>768</v>
      </c>
      <c r="AB97" s="57">
        <f t="shared" ref="AB97" si="336">IF(K97="A","",IF(K97="F",(Y97/16)*4,IF(K97="S",Y97/4)))</f>
        <v>512</v>
      </c>
      <c r="AC97" s="57">
        <f t="shared" ref="AC97" si="337">AB97</f>
        <v>512</v>
      </c>
      <c r="AD97" s="204" t="s">
        <v>469</v>
      </c>
      <c r="AE97" s="57" t="str">
        <f t="shared" si="308"/>
        <v>/sv1/sv15/wasApp</v>
      </c>
      <c r="AF97" s="57" t="str">
        <f t="shared" ref="AF97" si="338">CONCATENATE("/log/jboss7/",J97,"/",M97)</f>
        <v>/log/jboss7/D-SV15-O/D-SV15-O-F21</v>
      </c>
      <c r="AG97" s="204"/>
      <c r="AH97" s="13"/>
      <c r="AI97" s="13"/>
      <c r="AJ97" s="101"/>
    </row>
    <row r="98" spans="1:36" s="51" customFormat="1" ht="16.5" customHeight="1" thickBot="1" x14ac:dyDescent="0.35">
      <c r="A98" s="8" t="s">
        <v>345</v>
      </c>
      <c r="B98" s="103" t="s">
        <v>455</v>
      </c>
      <c r="C98" s="103">
        <v>2</v>
      </c>
      <c r="D98" s="104" t="s">
        <v>447</v>
      </c>
      <c r="E98" s="104" t="str">
        <f>CONCATENATE(A98,"sfb","wb0",C98)</f>
        <v>dsfbwb02</v>
      </c>
      <c r="F98" s="104" t="str">
        <f t="shared" si="263"/>
        <v>dsfbap02</v>
      </c>
      <c r="G98" s="105" t="s">
        <v>460</v>
      </c>
      <c r="H98" s="106" t="str">
        <f>VLOOKUP(G98,'Domain별 코드 체계'!$B$5:$J$30,7,0)</f>
        <v>SF11</v>
      </c>
      <c r="I98" s="129" t="s">
        <v>375</v>
      </c>
      <c r="J98" s="10" t="str">
        <f t="shared" si="273"/>
        <v>D-SF11-O</v>
      </c>
      <c r="K98" s="139" t="s">
        <v>88</v>
      </c>
      <c r="L98" s="108">
        <v>1</v>
      </c>
      <c r="M98" s="109" t="str">
        <f t="shared" si="264"/>
        <v>D-SF11-O-F21</v>
      </c>
      <c r="N98" s="118" t="str">
        <f>IF(K98="S",9, "8")&amp;VLOOKUP(H98,'WAS Domain'!$E$11:$I$27,3,0)&amp;VLOOKUP(H98,'WAS Domain'!$E$11:$I$27,4,0)&amp;IF(RIGHT(H98,1)="1",L98,RIGHT(H98,1))</f>
        <v>8121</v>
      </c>
      <c r="O98" s="118">
        <f t="shared" si="265"/>
        <v>8564</v>
      </c>
      <c r="P98" s="189" t="str">
        <f>VLOOKUP(H98,'WAS Domain'!$E$11:$I$27,2,0)&amp;VLOOKUP(H98,'WAS Domain'!$E$11:$I$27,3,0)&amp;VLOOKUP(H98,'WAS Domain'!$E$11:$I$27,4,0)&amp;VLOOKUP(H98,'WAS Domain'!$E$11:$I$27,5,0)&amp;IF(K98="A",0,IF(K98="F",L98,IF(LEFT(H98,3)="FWM",L98,9)))</f>
        <v>11211</v>
      </c>
      <c r="Q98" s="191">
        <f t="shared" si="194"/>
        <v>11140</v>
      </c>
      <c r="R98" s="191">
        <f t="shared" si="195"/>
        <v>13121</v>
      </c>
      <c r="S98" s="191">
        <f t="shared" si="239"/>
        <v>13130</v>
      </c>
      <c r="T98" s="191">
        <f t="shared" si="196"/>
        <v>3131</v>
      </c>
      <c r="U98" s="191"/>
      <c r="V98" s="191"/>
      <c r="W98" s="109" t="s">
        <v>283</v>
      </c>
      <c r="X98" s="109" t="str">
        <f t="shared" si="266"/>
        <v>D-SF11-O-A11</v>
      </c>
      <c r="Y98" s="109">
        <f t="shared" si="267"/>
        <v>2048</v>
      </c>
      <c r="Z98" s="109">
        <f t="shared" si="268"/>
        <v>768</v>
      </c>
      <c r="AA98" s="109">
        <f t="shared" si="269"/>
        <v>768</v>
      </c>
      <c r="AB98" s="109">
        <f t="shared" si="270"/>
        <v>512</v>
      </c>
      <c r="AC98" s="109">
        <f t="shared" si="271"/>
        <v>512</v>
      </c>
      <c r="AD98" s="108" t="s">
        <v>80</v>
      </c>
      <c r="AE98" s="109" t="str">
        <f>CONCATENATE("/",LOWER(B98),"/",LOWER(LEFT(H98,4)),"/wasApp")</f>
        <v>/sf1/sf11/wasApp</v>
      </c>
      <c r="AF98" s="109" t="str">
        <f t="shared" si="306"/>
        <v>/log/jboss7/D-SF11-O/D-SF11-O-F21</v>
      </c>
      <c r="AG98" s="108"/>
      <c r="AH98" s="111"/>
      <c r="AI98" s="111"/>
      <c r="AJ98" s="112"/>
    </row>
    <row r="99" spans="1:36" ht="6" customHeight="1" x14ac:dyDescent="0.3">
      <c r="A99" s="37" t="s">
        <v>39</v>
      </c>
      <c r="B99" s="38"/>
      <c r="C99" s="38"/>
      <c r="D99" s="53"/>
      <c r="E99" s="53"/>
      <c r="F99" s="53"/>
      <c r="G99" s="53"/>
      <c r="H99" s="19"/>
      <c r="I99" s="19"/>
      <c r="J99" s="19"/>
      <c r="K99" s="42"/>
      <c r="L99" s="42"/>
      <c r="M99" s="19"/>
      <c r="N99" s="144"/>
      <c r="O99" s="144"/>
      <c r="P99" s="144"/>
      <c r="Q99" s="144"/>
      <c r="R99" s="144"/>
      <c r="S99" s="144"/>
      <c r="T99" s="144"/>
      <c r="U99" s="144"/>
      <c r="V99" s="144"/>
      <c r="W99" s="19"/>
      <c r="X99" s="19"/>
      <c r="Y99" s="19"/>
      <c r="Z99" s="19"/>
      <c r="AA99" s="19"/>
      <c r="AB99" s="19"/>
      <c r="AC99" s="19"/>
      <c r="AD99" s="19"/>
      <c r="AE99" s="144"/>
      <c r="AF99" s="19"/>
      <c r="AG99" s="19"/>
      <c r="AH99" s="19"/>
      <c r="AI99" s="19"/>
      <c r="AJ99" s="19"/>
    </row>
  </sheetData>
  <autoFilter ref="A6:AJ99"/>
  <mergeCells count="16">
    <mergeCell ref="AJ4:AJ6"/>
    <mergeCell ref="G5:J5"/>
    <mergeCell ref="K5:X5"/>
    <mergeCell ref="G4:J4"/>
    <mergeCell ref="K4:AF4"/>
    <mergeCell ref="Y5:AC5"/>
    <mergeCell ref="AD5:AF5"/>
    <mergeCell ref="AG4:AI4"/>
    <mergeCell ref="AG5:AG6"/>
    <mergeCell ref="AH5:AI5"/>
    <mergeCell ref="A4:A6"/>
    <mergeCell ref="B4:B6"/>
    <mergeCell ref="C4:C6"/>
    <mergeCell ref="D4:D6"/>
    <mergeCell ref="F4:F6"/>
    <mergeCell ref="E4:E6"/>
  </mergeCells>
  <phoneticPr fontId="2" type="noConversion"/>
  <dataValidations count="3">
    <dataValidation type="list" allowBlank="1" showInputMessage="1" showErrorMessage="1" sqref="AD64:AD83 AD85:AD98 AD7:AD62">
      <formula1>"도메인, 인스턴스"</formula1>
    </dataValidation>
    <dataValidation type="list" allowBlank="1" showInputMessage="1" showErrorMessage="1" sqref="AG66 AG72:AG73 AG85:AG98 AG7:AG62">
      <formula1>"운영,통테,-"</formula1>
    </dataValidation>
    <dataValidation type="list" allowBlank="1" showInputMessage="1" showErrorMessage="1" sqref="K64:K83 K85:K98 K7:K62">
      <formula1>"A,F,S"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workbookViewId="0">
      <selection activeCell="E33" sqref="E33"/>
    </sheetView>
  </sheetViews>
  <sheetFormatPr defaultRowHeight="16.5" x14ac:dyDescent="0.3"/>
  <cols>
    <col min="2" max="2" width="22.25" customWidth="1"/>
    <col min="3" max="3" width="18" bestFit="1" customWidth="1"/>
    <col min="4" max="4" width="35.125" customWidth="1"/>
    <col min="5" max="5" width="14.125" customWidth="1"/>
    <col min="6" max="6" width="15.875" customWidth="1"/>
    <col min="7" max="7" width="44.625" customWidth="1"/>
    <col min="8" max="8" width="36.375" customWidth="1"/>
  </cols>
  <sheetData>
    <row r="2" spans="1:8" x14ac:dyDescent="0.3">
      <c r="A2" s="66" t="s">
        <v>166</v>
      </c>
      <c r="B2" s="66"/>
      <c r="C2" s="66"/>
      <c r="D2" s="66"/>
      <c r="E2" s="66"/>
      <c r="F2" s="66"/>
      <c r="G2" s="66"/>
      <c r="H2" s="66"/>
    </row>
    <row r="3" spans="1:8" x14ac:dyDescent="0.3">
      <c r="A3" s="68" t="s">
        <v>167</v>
      </c>
      <c r="B3" s="271" t="s">
        <v>201</v>
      </c>
      <c r="C3" s="271" t="s">
        <v>205</v>
      </c>
      <c r="D3" s="288" t="s">
        <v>197</v>
      </c>
      <c r="E3" s="339" t="s">
        <v>103</v>
      </c>
      <c r="F3" s="70" t="s">
        <v>104</v>
      </c>
      <c r="G3" s="69" t="s">
        <v>360</v>
      </c>
      <c r="H3" s="70" t="s">
        <v>93</v>
      </c>
    </row>
    <row r="4" spans="1:8" x14ac:dyDescent="0.3">
      <c r="A4" s="68" t="s">
        <v>168</v>
      </c>
      <c r="B4" s="271"/>
      <c r="C4" s="271"/>
      <c r="D4" s="271"/>
      <c r="E4" s="340"/>
      <c r="F4" s="70" t="s">
        <v>105</v>
      </c>
      <c r="G4" s="69" t="s">
        <v>92</v>
      </c>
      <c r="H4" s="70" t="s">
        <v>94</v>
      </c>
    </row>
    <row r="5" spans="1:8" x14ac:dyDescent="0.3">
      <c r="A5" s="68" t="s">
        <v>169</v>
      </c>
      <c r="B5" s="271"/>
      <c r="C5" s="271"/>
      <c r="D5" s="271"/>
      <c r="E5" s="70" t="s">
        <v>106</v>
      </c>
      <c r="F5" s="70" t="s">
        <v>107</v>
      </c>
      <c r="G5" s="69" t="s">
        <v>95</v>
      </c>
      <c r="H5" s="70" t="s">
        <v>96</v>
      </c>
    </row>
    <row r="6" spans="1:8" x14ac:dyDescent="0.3">
      <c r="A6" s="68" t="s">
        <v>170</v>
      </c>
      <c r="B6" s="271"/>
      <c r="C6" s="271"/>
      <c r="D6" s="271"/>
      <c r="E6" s="70" t="s">
        <v>207</v>
      </c>
      <c r="F6" s="70" t="s">
        <v>108</v>
      </c>
      <c r="G6" s="69" t="s">
        <v>97</v>
      </c>
      <c r="H6" s="70" t="s">
        <v>98</v>
      </c>
    </row>
    <row r="7" spans="1:8" x14ac:dyDescent="0.3">
      <c r="A7" s="68" t="s">
        <v>171</v>
      </c>
      <c r="B7" s="271"/>
      <c r="C7" s="271"/>
      <c r="D7" s="271"/>
      <c r="E7" s="70" t="s">
        <v>208</v>
      </c>
      <c r="F7" s="70" t="s">
        <v>109</v>
      </c>
      <c r="G7" s="69" t="s">
        <v>99</v>
      </c>
      <c r="H7" s="70" t="s">
        <v>100</v>
      </c>
    </row>
    <row r="8" spans="1:8" x14ac:dyDescent="0.3">
      <c r="A8" s="68" t="s">
        <v>172</v>
      </c>
      <c r="B8" s="271"/>
      <c r="C8" s="271"/>
      <c r="D8" s="271"/>
      <c r="E8" s="70" t="s">
        <v>110</v>
      </c>
      <c r="F8" s="70" t="s">
        <v>111</v>
      </c>
      <c r="G8" s="69" t="s">
        <v>101</v>
      </c>
      <c r="H8" s="70" t="s">
        <v>102</v>
      </c>
    </row>
    <row r="9" spans="1:8" x14ac:dyDescent="0.3">
      <c r="A9" s="68" t="s">
        <v>173</v>
      </c>
      <c r="B9" s="271" t="s">
        <v>202</v>
      </c>
      <c r="C9" s="271" t="s">
        <v>112</v>
      </c>
      <c r="D9" s="289" t="s">
        <v>206</v>
      </c>
      <c r="E9" s="343" t="s">
        <v>209</v>
      </c>
      <c r="F9" s="63" t="s">
        <v>113</v>
      </c>
      <c r="G9" s="63" t="s">
        <v>115</v>
      </c>
      <c r="H9" s="63" t="s">
        <v>116</v>
      </c>
    </row>
    <row r="10" spans="1:8" x14ac:dyDescent="0.3">
      <c r="A10" s="68" t="s">
        <v>174</v>
      </c>
      <c r="B10" s="271"/>
      <c r="C10" s="271" t="s">
        <v>112</v>
      </c>
      <c r="D10" s="290"/>
      <c r="E10" s="343"/>
      <c r="F10" s="63" t="s">
        <v>114</v>
      </c>
      <c r="G10" s="63" t="s">
        <v>115</v>
      </c>
      <c r="H10" s="63" t="s">
        <v>116</v>
      </c>
    </row>
    <row r="11" spans="1:8" x14ac:dyDescent="0.3">
      <c r="A11" s="68" t="s">
        <v>175</v>
      </c>
      <c r="B11" s="271"/>
      <c r="C11" s="335" t="s">
        <v>210</v>
      </c>
      <c r="D11" s="290"/>
      <c r="E11" s="343" t="s">
        <v>147</v>
      </c>
      <c r="F11" s="63" t="s">
        <v>148</v>
      </c>
      <c r="G11" s="63" t="s">
        <v>151</v>
      </c>
      <c r="H11" s="63" t="s">
        <v>152</v>
      </c>
    </row>
    <row r="12" spans="1:8" x14ac:dyDescent="0.3">
      <c r="A12" s="68" t="s">
        <v>176</v>
      </c>
      <c r="B12" s="271"/>
      <c r="C12" s="335"/>
      <c r="D12" s="290"/>
      <c r="E12" s="343"/>
      <c r="F12" s="63" t="s">
        <v>149</v>
      </c>
      <c r="G12" s="63" t="s">
        <v>151</v>
      </c>
      <c r="H12" s="63" t="s">
        <v>152</v>
      </c>
    </row>
    <row r="13" spans="1:8" x14ac:dyDescent="0.3">
      <c r="A13" s="68" t="s">
        <v>177</v>
      </c>
      <c r="B13" s="271"/>
      <c r="C13" s="335"/>
      <c r="D13" s="290"/>
      <c r="E13" s="343"/>
      <c r="F13" s="63" t="s">
        <v>150</v>
      </c>
      <c r="G13" s="63" t="s">
        <v>153</v>
      </c>
      <c r="H13" s="63" t="s">
        <v>152</v>
      </c>
    </row>
    <row r="14" spans="1:8" x14ac:dyDescent="0.3">
      <c r="A14" s="68" t="s">
        <v>178</v>
      </c>
      <c r="B14" s="271"/>
      <c r="C14" s="289" t="s">
        <v>194</v>
      </c>
      <c r="D14" s="290"/>
      <c r="E14" s="341" t="s">
        <v>211</v>
      </c>
      <c r="F14" s="63" t="s">
        <v>154</v>
      </c>
      <c r="G14" s="63" t="s">
        <v>156</v>
      </c>
      <c r="H14" s="63" t="s">
        <v>157</v>
      </c>
    </row>
    <row r="15" spans="1:8" x14ac:dyDescent="0.3">
      <c r="A15" s="68" t="s">
        <v>179</v>
      </c>
      <c r="B15" s="271"/>
      <c r="C15" s="291"/>
      <c r="D15" s="291"/>
      <c r="E15" s="342"/>
      <c r="F15" s="63" t="s">
        <v>155</v>
      </c>
      <c r="G15" s="63" t="s">
        <v>158</v>
      </c>
      <c r="H15" s="63" t="s">
        <v>157</v>
      </c>
    </row>
    <row r="16" spans="1:8" x14ac:dyDescent="0.3">
      <c r="A16" s="68" t="s">
        <v>180</v>
      </c>
      <c r="B16" s="331" t="s">
        <v>203</v>
      </c>
      <c r="C16" s="332" t="s">
        <v>212</v>
      </c>
      <c r="D16" s="336" t="s">
        <v>204</v>
      </c>
      <c r="E16" s="343" t="s">
        <v>117</v>
      </c>
      <c r="F16" s="63" t="s">
        <v>118</v>
      </c>
      <c r="G16" s="63" t="s">
        <v>119</v>
      </c>
      <c r="H16" s="63" t="s">
        <v>120</v>
      </c>
    </row>
    <row r="17" spans="1:8" x14ac:dyDescent="0.3">
      <c r="A17" s="68" t="s">
        <v>181</v>
      </c>
      <c r="B17" s="331"/>
      <c r="C17" s="334"/>
      <c r="D17" s="337"/>
      <c r="E17" s="343"/>
      <c r="F17" s="63" t="s">
        <v>133</v>
      </c>
      <c r="G17" s="63" t="s">
        <v>119</v>
      </c>
      <c r="H17" s="63" t="s">
        <v>120</v>
      </c>
    </row>
    <row r="18" spans="1:8" x14ac:dyDescent="0.3">
      <c r="A18" s="68" t="s">
        <v>182</v>
      </c>
      <c r="B18" s="331"/>
      <c r="C18" s="332" t="s">
        <v>191</v>
      </c>
      <c r="D18" s="337"/>
      <c r="E18" s="343" t="s">
        <v>121</v>
      </c>
      <c r="F18" s="63" t="s">
        <v>122</v>
      </c>
      <c r="G18" s="63" t="s">
        <v>125</v>
      </c>
      <c r="H18" s="63" t="s">
        <v>126</v>
      </c>
    </row>
    <row r="19" spans="1:8" x14ac:dyDescent="0.3">
      <c r="A19" s="68" t="s">
        <v>183</v>
      </c>
      <c r="B19" s="331"/>
      <c r="C19" s="333"/>
      <c r="D19" s="337"/>
      <c r="E19" s="343"/>
      <c r="F19" s="63" t="s">
        <v>123</v>
      </c>
      <c r="G19" s="63" t="s">
        <v>125</v>
      </c>
      <c r="H19" s="63" t="s">
        <v>126</v>
      </c>
    </row>
    <row r="20" spans="1:8" x14ac:dyDescent="0.3">
      <c r="A20" s="68" t="s">
        <v>184</v>
      </c>
      <c r="B20" s="331"/>
      <c r="C20" s="334"/>
      <c r="D20" s="337"/>
      <c r="E20" s="343"/>
      <c r="F20" s="63" t="s">
        <v>124</v>
      </c>
      <c r="G20" s="63" t="s">
        <v>125</v>
      </c>
      <c r="H20" s="63" t="s">
        <v>126</v>
      </c>
    </row>
    <row r="21" spans="1:8" x14ac:dyDescent="0.3">
      <c r="A21" s="68" t="s">
        <v>185</v>
      </c>
      <c r="B21" s="331"/>
      <c r="C21" s="332" t="s">
        <v>192</v>
      </c>
      <c r="D21" s="337"/>
      <c r="E21" s="343" t="s">
        <v>127</v>
      </c>
      <c r="F21" s="63" t="s">
        <v>128</v>
      </c>
      <c r="G21" s="63" t="s">
        <v>130</v>
      </c>
      <c r="H21" s="63" t="s">
        <v>132</v>
      </c>
    </row>
    <row r="22" spans="1:8" x14ac:dyDescent="0.3">
      <c r="A22" s="68" t="s">
        <v>186</v>
      </c>
      <c r="B22" s="331"/>
      <c r="C22" s="334"/>
      <c r="D22" s="337"/>
      <c r="E22" s="343"/>
      <c r="F22" s="63" t="s">
        <v>134</v>
      </c>
      <c r="G22" s="63" t="s">
        <v>129</v>
      </c>
      <c r="H22" s="63" t="s">
        <v>131</v>
      </c>
    </row>
    <row r="23" spans="1:8" x14ac:dyDescent="0.3">
      <c r="A23" s="68" t="s">
        <v>187</v>
      </c>
      <c r="B23" s="331"/>
      <c r="C23" s="332" t="s">
        <v>193</v>
      </c>
      <c r="D23" s="337"/>
      <c r="E23" s="63" t="s">
        <v>135</v>
      </c>
      <c r="F23" s="63" t="s">
        <v>136</v>
      </c>
      <c r="G23" s="63" t="s">
        <v>141</v>
      </c>
      <c r="H23" s="63" t="s">
        <v>142</v>
      </c>
    </row>
    <row r="24" spans="1:8" x14ac:dyDescent="0.3">
      <c r="A24" s="68" t="s">
        <v>188</v>
      </c>
      <c r="B24" s="331"/>
      <c r="C24" s="333"/>
      <c r="D24" s="337"/>
      <c r="E24" s="63" t="s">
        <v>137</v>
      </c>
      <c r="F24" s="63" t="s">
        <v>138</v>
      </c>
      <c r="G24" s="63" t="s">
        <v>143</v>
      </c>
      <c r="H24" s="63" t="s">
        <v>144</v>
      </c>
    </row>
    <row r="25" spans="1:8" x14ac:dyDescent="0.3">
      <c r="A25" s="68" t="s">
        <v>189</v>
      </c>
      <c r="B25" s="331"/>
      <c r="C25" s="334"/>
      <c r="D25" s="338"/>
      <c r="E25" s="63" t="s">
        <v>139</v>
      </c>
      <c r="F25" s="63" t="s">
        <v>140</v>
      </c>
      <c r="G25" s="63" t="s">
        <v>145</v>
      </c>
      <c r="H25" s="63" t="s">
        <v>146</v>
      </c>
    </row>
    <row r="26" spans="1:8" x14ac:dyDescent="0.3">
      <c r="A26" s="68" t="s">
        <v>49</v>
      </c>
      <c r="B26" s="67" t="s">
        <v>200</v>
      </c>
      <c r="C26" s="67" t="s">
        <v>196</v>
      </c>
      <c r="D26" s="64" t="s">
        <v>198</v>
      </c>
      <c r="E26" s="63" t="s">
        <v>214</v>
      </c>
      <c r="F26" s="63" t="s">
        <v>163</v>
      </c>
      <c r="G26" s="63" t="s">
        <v>164</v>
      </c>
      <c r="H26" s="63" t="s">
        <v>165</v>
      </c>
    </row>
    <row r="27" spans="1:8" ht="27" customHeight="1" x14ac:dyDescent="0.3">
      <c r="A27" s="68" t="s">
        <v>190</v>
      </c>
      <c r="B27" s="67" t="s">
        <v>199</v>
      </c>
      <c r="C27" s="67" t="s">
        <v>195</v>
      </c>
      <c r="D27" s="64" t="s">
        <v>213</v>
      </c>
      <c r="E27" s="63" t="s">
        <v>159</v>
      </c>
      <c r="F27" s="63" t="s">
        <v>160</v>
      </c>
      <c r="G27" s="63" t="s">
        <v>161</v>
      </c>
      <c r="H27" s="63" t="s">
        <v>162</v>
      </c>
    </row>
  </sheetData>
  <mergeCells count="21">
    <mergeCell ref="D16:D25"/>
    <mergeCell ref="D9:D15"/>
    <mergeCell ref="E3:E4"/>
    <mergeCell ref="E14:E15"/>
    <mergeCell ref="E21:E22"/>
    <mergeCell ref="E11:E13"/>
    <mergeCell ref="E9:E10"/>
    <mergeCell ref="E18:E20"/>
    <mergeCell ref="E16:E17"/>
    <mergeCell ref="D3:D8"/>
    <mergeCell ref="B3:B8"/>
    <mergeCell ref="B9:B15"/>
    <mergeCell ref="B16:B25"/>
    <mergeCell ref="C18:C20"/>
    <mergeCell ref="C16:C17"/>
    <mergeCell ref="C14:C15"/>
    <mergeCell ref="C9:C10"/>
    <mergeCell ref="C21:C22"/>
    <mergeCell ref="C23:C25"/>
    <mergeCell ref="C11:C13"/>
    <mergeCell ref="C3:C8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92"/>
  <sheetViews>
    <sheetView view="pageBreakPreview" topLeftCell="A13" zoomScale="90" zoomScaleNormal="100" zoomScaleSheetLayoutView="90" workbookViewId="0">
      <selection activeCell="A17" sqref="A17"/>
    </sheetView>
  </sheetViews>
  <sheetFormatPr defaultRowHeight="16.5" x14ac:dyDescent="0.3"/>
  <cols>
    <col min="1" max="1" width="4.75" style="50" bestFit="1" customWidth="1"/>
    <col min="2" max="2" width="6.375" style="50" bestFit="1" customWidth="1"/>
    <col min="3" max="3" width="4.75" style="50" bestFit="1" customWidth="1"/>
    <col min="4" max="4" width="21.375" style="51" customWidth="1"/>
    <col min="5" max="5" width="9.375" style="51" bestFit="1" customWidth="1"/>
    <col min="6" max="6" width="24.875" style="51" customWidth="1"/>
    <col min="7" max="7" width="6.75" customWidth="1"/>
    <col min="8" max="8" width="5.375" bestFit="1" customWidth="1"/>
    <col min="9" max="9" width="9.875" bestFit="1" customWidth="1"/>
    <col min="10" max="10" width="6.75" style="11" customWidth="1"/>
    <col min="11" max="11" width="8.75" style="11" customWidth="1"/>
    <col min="12" max="12" width="14.5" bestFit="1" customWidth="1"/>
    <col min="13" max="13" width="14" hidden="1" customWidth="1"/>
    <col min="14" max="14" width="9.375" hidden="1" customWidth="1"/>
    <col min="15" max="15" width="7.875" hidden="1" customWidth="1"/>
    <col min="16" max="16" width="11.375" hidden="1" customWidth="1"/>
    <col min="17" max="17" width="8.5" hidden="1" customWidth="1"/>
    <col min="18" max="18" width="9.875" hidden="1" customWidth="1"/>
    <col min="19" max="19" width="9.625" hidden="1" customWidth="1"/>
    <col min="20" max="20" width="38" customWidth="1"/>
    <col min="21" max="21" width="22.125" customWidth="1"/>
    <col min="22" max="22" width="34.375" customWidth="1"/>
    <col min="23" max="23" width="8.25" hidden="1" customWidth="1"/>
    <col min="24" max="24" width="34.375" hidden="1" customWidth="1"/>
    <col min="25" max="25" width="9.625" hidden="1" customWidth="1"/>
    <col min="26" max="27" width="34.375" customWidth="1"/>
    <col min="28" max="28" width="10.75" customWidth="1"/>
    <col min="29" max="29" width="38" customWidth="1"/>
    <col min="30" max="30" width="22.125" customWidth="1"/>
    <col min="31" max="31" width="34.375" customWidth="1"/>
    <col min="32" max="32" width="8.25" hidden="1" customWidth="1"/>
    <col min="33" max="33" width="34.375" hidden="1" customWidth="1"/>
    <col min="34" max="34" width="9.625" hidden="1" customWidth="1"/>
    <col min="35" max="36" width="34.375" customWidth="1"/>
    <col min="37" max="37" width="13.5" bestFit="1" customWidth="1"/>
  </cols>
  <sheetData>
    <row r="1" spans="1:37" s="47" customFormat="1" x14ac:dyDescent="0.3">
      <c r="A1" s="54"/>
      <c r="B1" s="55"/>
      <c r="C1" s="54"/>
      <c r="J1" s="56"/>
      <c r="K1" s="56"/>
    </row>
    <row r="2" spans="1:37" s="47" customFormat="1" x14ac:dyDescent="0.3">
      <c r="A2" s="54"/>
      <c r="B2" s="39"/>
      <c r="C2" s="54"/>
      <c r="J2" s="56"/>
      <c r="K2" s="56"/>
      <c r="U2" s="142"/>
      <c r="AD2" s="142"/>
    </row>
    <row r="3" spans="1:37" x14ac:dyDescent="0.3">
      <c r="U3" s="142"/>
      <c r="AD3" s="142"/>
    </row>
    <row r="4" spans="1:37" x14ac:dyDescent="0.3">
      <c r="A4" s="319" t="s">
        <v>14</v>
      </c>
      <c r="B4" s="322" t="s">
        <v>15</v>
      </c>
      <c r="C4" s="319" t="s">
        <v>16</v>
      </c>
      <c r="D4" s="319" t="s">
        <v>59</v>
      </c>
      <c r="E4" s="319" t="s">
        <v>60</v>
      </c>
      <c r="F4" s="323" t="s">
        <v>277</v>
      </c>
      <c r="G4" s="324"/>
      <c r="H4" s="324"/>
      <c r="I4" s="325"/>
      <c r="J4" s="349" t="s">
        <v>351</v>
      </c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1"/>
      <c r="AB4" s="346" t="s">
        <v>400</v>
      </c>
      <c r="AC4" s="344" t="s">
        <v>404</v>
      </c>
      <c r="AD4" s="344"/>
      <c r="AE4" s="344"/>
      <c r="AF4" s="344"/>
      <c r="AG4" s="344"/>
      <c r="AH4" s="344"/>
      <c r="AI4" s="344"/>
      <c r="AJ4" s="345"/>
      <c r="AK4" s="322" t="s">
        <v>698</v>
      </c>
    </row>
    <row r="5" spans="1:37" x14ac:dyDescent="0.3">
      <c r="A5" s="320"/>
      <c r="B5" s="320"/>
      <c r="C5" s="320"/>
      <c r="D5" s="320"/>
      <c r="E5" s="320"/>
      <c r="F5" s="323" t="s">
        <v>56</v>
      </c>
      <c r="G5" s="324"/>
      <c r="H5" s="324"/>
      <c r="I5" s="325"/>
      <c r="J5" s="326" t="s">
        <v>61</v>
      </c>
      <c r="K5" s="326"/>
      <c r="L5" s="326"/>
      <c r="M5" s="326"/>
      <c r="N5" s="326" t="s">
        <v>62</v>
      </c>
      <c r="O5" s="326"/>
      <c r="P5" s="326"/>
      <c r="Q5" s="326"/>
      <c r="R5" s="326"/>
      <c r="S5" s="154" t="s">
        <v>55</v>
      </c>
      <c r="T5" s="327" t="s">
        <v>55</v>
      </c>
      <c r="U5" s="328"/>
      <c r="V5" s="328"/>
      <c r="W5" s="328"/>
      <c r="X5" s="328"/>
      <c r="Y5" s="328"/>
      <c r="Z5" s="328"/>
      <c r="AA5" s="329"/>
      <c r="AB5" s="347"/>
      <c r="AC5" s="328" t="s">
        <v>55</v>
      </c>
      <c r="AD5" s="328"/>
      <c r="AE5" s="328"/>
      <c r="AF5" s="328"/>
      <c r="AG5" s="328"/>
      <c r="AH5" s="328"/>
      <c r="AI5" s="328"/>
      <c r="AJ5" s="329"/>
      <c r="AK5" s="320"/>
    </row>
    <row r="6" spans="1:37" x14ac:dyDescent="0.3">
      <c r="A6" s="321"/>
      <c r="B6" s="321"/>
      <c r="C6" s="321"/>
      <c r="D6" s="321"/>
      <c r="E6" s="321"/>
      <c r="F6" s="155" t="s">
        <v>56</v>
      </c>
      <c r="G6" s="155" t="s">
        <v>65</v>
      </c>
      <c r="H6" s="41" t="s">
        <v>79</v>
      </c>
      <c r="I6" s="155" t="s">
        <v>67</v>
      </c>
      <c r="J6" s="155" t="s">
        <v>66</v>
      </c>
      <c r="K6" s="155" t="s">
        <v>68</v>
      </c>
      <c r="L6" s="155" t="s">
        <v>69</v>
      </c>
      <c r="M6" s="155" t="s">
        <v>71</v>
      </c>
      <c r="N6" s="155" t="s">
        <v>74</v>
      </c>
      <c r="O6" s="155" t="s">
        <v>75</v>
      </c>
      <c r="P6" s="155" t="s">
        <v>76</v>
      </c>
      <c r="Q6" s="155" t="s">
        <v>77</v>
      </c>
      <c r="R6" s="155" t="s">
        <v>78</v>
      </c>
      <c r="S6" s="41" t="s">
        <v>0</v>
      </c>
      <c r="T6" s="153" t="s">
        <v>401</v>
      </c>
      <c r="U6" s="153" t="s">
        <v>72</v>
      </c>
      <c r="V6" s="153" t="s">
        <v>73</v>
      </c>
      <c r="W6" s="156"/>
      <c r="X6" s="156" t="s">
        <v>84</v>
      </c>
      <c r="Y6" s="156" t="s">
        <v>85</v>
      </c>
      <c r="Z6" s="153" t="s">
        <v>402</v>
      </c>
      <c r="AA6" s="153" t="s">
        <v>403</v>
      </c>
      <c r="AB6" s="348"/>
      <c r="AC6" s="161" t="s">
        <v>401</v>
      </c>
      <c r="AD6" s="153" t="s">
        <v>72</v>
      </c>
      <c r="AE6" s="153" t="s">
        <v>73</v>
      </c>
      <c r="AF6" s="156"/>
      <c r="AG6" s="156" t="s">
        <v>84</v>
      </c>
      <c r="AH6" s="156" t="s">
        <v>85</v>
      </c>
      <c r="AI6" s="153" t="s">
        <v>405</v>
      </c>
      <c r="AJ6" s="153" t="s">
        <v>403</v>
      </c>
      <c r="AK6" s="321"/>
    </row>
    <row r="7" spans="1:37" s="51" customFormat="1" ht="16.5" customHeight="1" x14ac:dyDescent="0.3">
      <c r="A7" s="8" t="s">
        <v>12</v>
      </c>
      <c r="B7" s="8" t="s">
        <v>392</v>
      </c>
      <c r="C7" s="8">
        <v>1</v>
      </c>
      <c r="D7" s="52" t="s">
        <v>278</v>
      </c>
      <c r="E7" s="52" t="str">
        <f t="shared" ref="E7:E14" si="0">CONCATENATE(A7,"flb","ap0",C7)</f>
        <v>pflbap01</v>
      </c>
      <c r="F7" s="9" t="s">
        <v>413</v>
      </c>
      <c r="G7" s="33" t="str">
        <f>VLOOKUP(F7,'Domain별 코드 체계'!$B$5:$J$29,7,0)</f>
        <v>SV11</v>
      </c>
      <c r="H7" s="126" t="s">
        <v>5</v>
      </c>
      <c r="I7" s="10" t="str">
        <f t="shared" ref="I7:I18" si="1">CONCATENATE(UPPER(IF(A7="d","P",A7)),"-",G7,"-",H7)</f>
        <v>P-SV11-O</v>
      </c>
      <c r="J7" s="131" t="s">
        <v>88</v>
      </c>
      <c r="K7" s="157">
        <v>1</v>
      </c>
      <c r="L7" s="57" t="str">
        <f t="shared" ref="L7:L18" si="2">CONCATENATE(I7,"-",J7,C7,K7)</f>
        <v>P-SV11-O-F11</v>
      </c>
      <c r="M7" s="57" t="str">
        <f t="shared" ref="M7:M18" si="3">IF(J7="A","",CONCATENATE(I7,"-A11"))</f>
        <v>P-SV11-O-A11</v>
      </c>
      <c r="N7" s="57">
        <f t="shared" ref="N7:N18" si="4">IF(J7="A",512,IF(J7="F",2048,IF(J7="S",1024)))</f>
        <v>2048</v>
      </c>
      <c r="O7" s="57">
        <f t="shared" ref="O7:O18" si="5">IF(J7="A","",IF(J7="F",(N7/16)*6,IF(J7="S",N7/4)))</f>
        <v>768</v>
      </c>
      <c r="P7" s="57">
        <f t="shared" ref="P7:P18" si="6">O7</f>
        <v>768</v>
      </c>
      <c r="Q7" s="57">
        <f t="shared" ref="Q7:Q18" si="7">IF(J7="A","",IF(J7="F",(N7/16)*4,IF(J7="S",N7/4)))</f>
        <v>512</v>
      </c>
      <c r="R7" s="57">
        <f t="shared" ref="R7:R18" si="8">Q7</f>
        <v>512</v>
      </c>
      <c r="S7" s="157" t="s">
        <v>80</v>
      </c>
      <c r="T7" s="57" t="str">
        <f>CONCATENATE("/was/jboss7/domains/",I7,"/",L7)</f>
        <v>/was/jboss7/domains/P-SV11-O/P-SV11-O-F11</v>
      </c>
      <c r="U7" s="57" t="str">
        <f t="shared" ref="U7:U14" si="9">CONCATENATE("/",LOWER(B7),"/",LOWER(LEFT(G7,4)),"/wasApp")</f>
        <v>/sv1/sv11/wasApp</v>
      </c>
      <c r="V7" s="57" t="str">
        <f t="shared" ref="V7:V18" si="10">CONCATENATE("/log/jboss7/",I7,"/",L7)</f>
        <v>/log/jboss7/P-SV11-O/P-SV11-O-F11</v>
      </c>
      <c r="W7" s="157" t="s">
        <v>86</v>
      </c>
      <c r="X7" s="13" t="s">
        <v>87</v>
      </c>
      <c r="Y7" s="13">
        <v>9998</v>
      </c>
      <c r="Z7" s="57" t="str">
        <f>"http://40.10.22.156:"&amp;VLOOKUP(L7,'WAS Instance'!$M$7:$T$98,6,0)&amp;"/console"</f>
        <v>http://40.10.22.156:13021/console</v>
      </c>
      <c r="AA7" s="57"/>
      <c r="AB7" s="170"/>
      <c r="AC7" s="162" t="str">
        <f>CONCATENATE("/web/jws3/domains/",I7,"/",L7)</f>
        <v>/web/jws3/domains/P-SV11-O/P-SV11-O-F11</v>
      </c>
      <c r="AD7" s="57" t="str">
        <f t="shared" ref="AD7:AD18" si="11">CONCATENATE("/",LOWER(B7),"/",LOWER(LEFT(G7,4)),"/webApp")</f>
        <v>/sv1/sv11/webApp</v>
      </c>
      <c r="AE7" s="57" t="str">
        <f>CONCATENATE("/log/jws3/",I7,"/",L7)</f>
        <v>/log/jws3/P-SV11-O/P-SV11-O-F11</v>
      </c>
      <c r="AF7" s="157" t="s">
        <v>86</v>
      </c>
      <c r="AG7" s="13" t="s">
        <v>87</v>
      </c>
      <c r="AH7" s="13">
        <v>9998</v>
      </c>
      <c r="AI7" s="160" t="s">
        <v>419</v>
      </c>
      <c r="AJ7" s="57"/>
      <c r="AK7" s="209" t="s">
        <v>702</v>
      </c>
    </row>
    <row r="8" spans="1:37" s="51" customFormat="1" ht="16.5" customHeight="1" x14ac:dyDescent="0.3">
      <c r="A8" s="8" t="s">
        <v>12</v>
      </c>
      <c r="B8" s="8" t="s">
        <v>392</v>
      </c>
      <c r="C8" s="8">
        <v>1</v>
      </c>
      <c r="D8" s="52" t="s">
        <v>278</v>
      </c>
      <c r="E8" s="52" t="str">
        <f t="shared" si="0"/>
        <v>pflbap01</v>
      </c>
      <c r="F8" s="9" t="s">
        <v>413</v>
      </c>
      <c r="G8" s="33" t="str">
        <f>VLOOKUP(F8,'Domain별 코드 체계'!$B$5:$J$29,7,0)</f>
        <v>SV11</v>
      </c>
      <c r="H8" s="126" t="s">
        <v>5</v>
      </c>
      <c r="I8" s="10" t="str">
        <f t="shared" si="1"/>
        <v>P-SV11-O</v>
      </c>
      <c r="J8" s="131" t="s">
        <v>88</v>
      </c>
      <c r="K8" s="198">
        <v>2</v>
      </c>
      <c r="L8" s="199" t="str">
        <f t="shared" si="2"/>
        <v>P-SV11-O-F12</v>
      </c>
      <c r="M8" s="199" t="str">
        <f t="shared" si="3"/>
        <v>P-SV11-O-A11</v>
      </c>
      <c r="N8" s="199">
        <f t="shared" si="4"/>
        <v>2048</v>
      </c>
      <c r="O8" s="199">
        <f t="shared" si="5"/>
        <v>768</v>
      </c>
      <c r="P8" s="199">
        <f t="shared" si="6"/>
        <v>768</v>
      </c>
      <c r="Q8" s="199">
        <f t="shared" si="7"/>
        <v>512</v>
      </c>
      <c r="R8" s="199">
        <f t="shared" si="8"/>
        <v>512</v>
      </c>
      <c r="S8" s="198" t="s">
        <v>80</v>
      </c>
      <c r="T8" s="199" t="str">
        <f t="shared" ref="T8:T53" si="12">CONCATENATE("/was/jboss7/domains/",I8,"/",L8)</f>
        <v>/was/jboss7/domains/P-SV11-O/P-SV11-O-F12</v>
      </c>
      <c r="U8" s="199" t="str">
        <f t="shared" si="9"/>
        <v>/sv1/sv11/wasApp</v>
      </c>
      <c r="V8" s="199" t="str">
        <f t="shared" si="10"/>
        <v>/log/jboss7/P-SV11-O/P-SV11-O-F12</v>
      </c>
      <c r="W8" s="198" t="s">
        <v>86</v>
      </c>
      <c r="X8" s="200" t="s">
        <v>87</v>
      </c>
      <c r="Y8" s="200">
        <v>9998</v>
      </c>
      <c r="Z8" s="199" t="str">
        <f>"http://40.10.22.156:"&amp;VLOOKUP(L8,'WAS Instance'!$M$7:$T$98,6,0)&amp;"/console"</f>
        <v>http://40.10.22.156:13022/console</v>
      </c>
      <c r="AA8" s="199"/>
      <c r="AB8" s="170"/>
      <c r="AC8" s="162" t="str">
        <f>CONCATENATE("/web/jws3/domains/",I8,"/",L8)</f>
        <v>/web/jws3/domains/P-SV11-O/P-SV11-O-F12</v>
      </c>
      <c r="AD8" s="57" t="str">
        <f t="shared" si="11"/>
        <v>/sv1/sv11/webApp</v>
      </c>
      <c r="AE8" s="57" t="str">
        <f t="shared" ref="AE8:AE73" si="13">CONCATENATE("/log/jws3/",I8,"/",L8)</f>
        <v>/log/jws3/P-SV11-O/P-SV11-O-F12</v>
      </c>
      <c r="AF8" s="157" t="s">
        <v>86</v>
      </c>
      <c r="AG8" s="13" t="s">
        <v>87</v>
      </c>
      <c r="AH8" s="13">
        <v>9998</v>
      </c>
      <c r="AI8" s="160" t="s">
        <v>419</v>
      </c>
      <c r="AJ8" s="57"/>
      <c r="AK8" s="209" t="s">
        <v>701</v>
      </c>
    </row>
    <row r="9" spans="1:37" s="51" customFormat="1" ht="16.5" customHeight="1" x14ac:dyDescent="0.3">
      <c r="A9" s="8" t="s">
        <v>12</v>
      </c>
      <c r="B9" s="8" t="s">
        <v>392</v>
      </c>
      <c r="C9" s="8">
        <v>1</v>
      </c>
      <c r="D9" s="52" t="s">
        <v>278</v>
      </c>
      <c r="E9" s="52" t="str">
        <f t="shared" si="0"/>
        <v>pflbap01</v>
      </c>
      <c r="F9" s="9" t="s">
        <v>396</v>
      </c>
      <c r="G9" s="33" t="str">
        <f>VLOOKUP(F9,'Domain별 코드 체계'!$B$5:$J$29,7,0)</f>
        <v>SV12</v>
      </c>
      <c r="H9" s="126" t="s">
        <v>5</v>
      </c>
      <c r="I9" s="10" t="str">
        <f t="shared" si="1"/>
        <v>P-SV12-O</v>
      </c>
      <c r="J9" s="131" t="s">
        <v>308</v>
      </c>
      <c r="K9" s="157">
        <v>1</v>
      </c>
      <c r="L9" s="57" t="str">
        <f t="shared" si="2"/>
        <v>P-SV12-O-S11</v>
      </c>
      <c r="M9" s="57" t="str">
        <f t="shared" si="3"/>
        <v>P-SV12-O-A11</v>
      </c>
      <c r="N9" s="57">
        <f t="shared" si="4"/>
        <v>1024</v>
      </c>
      <c r="O9" s="57">
        <f t="shared" si="5"/>
        <v>256</v>
      </c>
      <c r="P9" s="57">
        <f t="shared" si="6"/>
        <v>256</v>
      </c>
      <c r="Q9" s="57">
        <f t="shared" si="7"/>
        <v>256</v>
      </c>
      <c r="R9" s="57">
        <f t="shared" si="8"/>
        <v>256</v>
      </c>
      <c r="S9" s="157" t="s">
        <v>80</v>
      </c>
      <c r="T9" s="57" t="str">
        <f t="shared" si="12"/>
        <v>/was/jboss7/domains/P-SV12-O/P-SV12-O-S11</v>
      </c>
      <c r="U9" s="57" t="str">
        <f t="shared" si="9"/>
        <v>/sv1/sv12/wasApp</v>
      </c>
      <c r="V9" s="57" t="str">
        <f t="shared" si="10"/>
        <v>/log/jboss7/P-SV12-O/P-SV12-O-S11</v>
      </c>
      <c r="W9" s="157" t="s">
        <v>86</v>
      </c>
      <c r="X9" s="13" t="s">
        <v>87</v>
      </c>
      <c r="Y9" s="13">
        <v>9998</v>
      </c>
      <c r="Z9" s="57" t="str">
        <f>"http://40.10.22.156:"&amp;VLOOKUP(L9,'WAS Instance'!$M$7:$T$98,6,0)&amp;"/console"</f>
        <v>http://40.10.22.156:13039/console</v>
      </c>
      <c r="AA9" s="57"/>
      <c r="AB9" s="170"/>
      <c r="AC9" s="162" t="str">
        <f t="shared" ref="AC9:AC74" si="14">CONCATENATE("/web/jws3/domains/",I9,"/",L9)</f>
        <v>/web/jws3/domains/P-SV12-O/P-SV12-O-S11</v>
      </c>
      <c r="AD9" s="57" t="str">
        <f t="shared" si="11"/>
        <v>/sv1/sv12/webApp</v>
      </c>
      <c r="AE9" s="57" t="str">
        <f t="shared" si="13"/>
        <v>/log/jws3/P-SV12-O/P-SV12-O-S11</v>
      </c>
      <c r="AF9" s="157" t="s">
        <v>86</v>
      </c>
      <c r="AG9" s="13" t="s">
        <v>87</v>
      </c>
      <c r="AH9" s="13">
        <v>9998</v>
      </c>
      <c r="AI9" s="160" t="s">
        <v>419</v>
      </c>
      <c r="AJ9" s="57"/>
      <c r="AK9" s="209" t="s">
        <v>702</v>
      </c>
    </row>
    <row r="10" spans="1:37" s="51" customFormat="1" ht="16.5" customHeight="1" x14ac:dyDescent="0.3">
      <c r="A10" s="8" t="s">
        <v>12</v>
      </c>
      <c r="B10" s="8" t="s">
        <v>392</v>
      </c>
      <c r="C10" s="8">
        <v>1</v>
      </c>
      <c r="D10" s="52" t="s">
        <v>278</v>
      </c>
      <c r="E10" s="52" t="str">
        <f t="shared" si="0"/>
        <v>pflbap01</v>
      </c>
      <c r="F10" s="9" t="s">
        <v>412</v>
      </c>
      <c r="G10" s="33" t="str">
        <f>VLOOKUP(F10,'Domain별 코드 체계'!$B$5:$J$29,7,0)</f>
        <v>SV13</v>
      </c>
      <c r="H10" s="126" t="s">
        <v>5</v>
      </c>
      <c r="I10" s="10" t="str">
        <f t="shared" si="1"/>
        <v>P-SV13-O</v>
      </c>
      <c r="J10" s="131" t="s">
        <v>88</v>
      </c>
      <c r="K10" s="157">
        <v>1</v>
      </c>
      <c r="L10" s="57" t="str">
        <f t="shared" si="2"/>
        <v>P-SV13-O-F11</v>
      </c>
      <c r="M10" s="57" t="str">
        <f t="shared" si="3"/>
        <v>P-SV13-O-A11</v>
      </c>
      <c r="N10" s="57">
        <f t="shared" si="4"/>
        <v>2048</v>
      </c>
      <c r="O10" s="57">
        <f t="shared" si="5"/>
        <v>768</v>
      </c>
      <c r="P10" s="57">
        <f t="shared" si="6"/>
        <v>768</v>
      </c>
      <c r="Q10" s="57">
        <f t="shared" si="7"/>
        <v>512</v>
      </c>
      <c r="R10" s="57">
        <f t="shared" si="8"/>
        <v>512</v>
      </c>
      <c r="S10" s="157" t="s">
        <v>56</v>
      </c>
      <c r="T10" s="57" t="str">
        <f t="shared" si="12"/>
        <v>/was/jboss7/domains/P-SV13-O/P-SV13-O-F11</v>
      </c>
      <c r="U10" s="57" t="str">
        <f t="shared" si="9"/>
        <v>/sv1/sv13/wasApp</v>
      </c>
      <c r="V10" s="57" t="str">
        <f t="shared" si="10"/>
        <v>/log/jboss7/P-SV13-O/P-SV13-O-F11</v>
      </c>
      <c r="W10" s="157" t="s">
        <v>86</v>
      </c>
      <c r="X10" s="13" t="s">
        <v>87</v>
      </c>
      <c r="Y10" s="13">
        <v>9998</v>
      </c>
      <c r="Z10" s="57" t="str">
        <f>"http://40.10.22.156:"&amp;VLOOKUP(L10,'WAS Instance'!$M$7:$T$98,6,0)&amp;"/console"</f>
        <v>http://40.10.22.156:13041/console</v>
      </c>
      <c r="AA10" s="57"/>
      <c r="AB10" s="170"/>
      <c r="AC10" s="162" t="str">
        <f t="shared" si="14"/>
        <v>/web/jws3/domains/P-SV13-O/P-SV13-O-F11</v>
      </c>
      <c r="AD10" s="57" t="str">
        <f t="shared" si="11"/>
        <v>/sv1/sv13/webApp</v>
      </c>
      <c r="AE10" s="57" t="str">
        <f t="shared" si="13"/>
        <v>/log/jws3/P-SV13-O/P-SV13-O-F11</v>
      </c>
      <c r="AF10" s="157" t="s">
        <v>86</v>
      </c>
      <c r="AG10" s="13" t="s">
        <v>87</v>
      </c>
      <c r="AH10" s="13">
        <v>9998</v>
      </c>
      <c r="AI10" s="160" t="s">
        <v>419</v>
      </c>
      <c r="AJ10" s="57"/>
      <c r="AK10" s="209" t="s">
        <v>702</v>
      </c>
    </row>
    <row r="11" spans="1:37" s="51" customFormat="1" ht="16.5" customHeight="1" x14ac:dyDescent="0.3">
      <c r="A11" s="75" t="s">
        <v>12</v>
      </c>
      <c r="B11" s="8" t="s">
        <v>392</v>
      </c>
      <c r="C11" s="75">
        <v>1</v>
      </c>
      <c r="D11" s="76" t="s">
        <v>278</v>
      </c>
      <c r="E11" s="52" t="str">
        <f t="shared" ref="E11" si="15">CONCATENATE(A11,"flb","ap0",C11)</f>
        <v>pflbap01</v>
      </c>
      <c r="F11" s="73" t="s">
        <v>414</v>
      </c>
      <c r="G11" s="77" t="str">
        <f>VLOOKUP(F11,'Domain별 코드 체계'!$B$5:$J$29,7,0)</f>
        <v>SV14</v>
      </c>
      <c r="H11" s="127" t="s">
        <v>318</v>
      </c>
      <c r="I11" s="78" t="str">
        <f t="shared" ref="I11" si="16">CONCATENATE(UPPER(IF(A11="d","P",A11)),"-",G11,"-",H11)</f>
        <v>P-SV14-O</v>
      </c>
      <c r="J11" s="132" t="s">
        <v>308</v>
      </c>
      <c r="K11" s="79">
        <v>1</v>
      </c>
      <c r="L11" s="80" t="str">
        <f t="shared" ref="L11" si="17">CONCATENATE(I11,"-",J11,C11,K11)</f>
        <v>P-SV14-O-S11</v>
      </c>
      <c r="M11" s="80" t="str">
        <f t="shared" ref="M11" si="18">IF(J11="A","",CONCATENATE(I11,"-A11"))</f>
        <v>P-SV14-O-A11</v>
      </c>
      <c r="N11" s="80">
        <f t="shared" ref="N11" si="19">IF(J11="A",512,IF(J11="F",2048,IF(J11="S",1024)))</f>
        <v>1024</v>
      </c>
      <c r="O11" s="80">
        <f t="shared" ref="O11" si="20">IF(J11="A","",IF(J11="F",(N11/16)*6,IF(J11="S",N11/4)))</f>
        <v>256</v>
      </c>
      <c r="P11" s="80">
        <f t="shared" ref="P11" si="21">O11</f>
        <v>256</v>
      </c>
      <c r="Q11" s="80">
        <f t="shared" ref="Q11" si="22">IF(J11="A","",IF(J11="F",(N11/16)*4,IF(J11="S",N11/4)))</f>
        <v>256</v>
      </c>
      <c r="R11" s="80">
        <f t="shared" ref="R11" si="23">Q11</f>
        <v>256</v>
      </c>
      <c r="S11" s="79" t="s">
        <v>80</v>
      </c>
      <c r="T11" s="80" t="str">
        <f t="shared" ref="T11" si="24">CONCATENATE("/was/jboss7/domains/",I11,"/",L11)</f>
        <v>/was/jboss7/domains/P-SV14-O/P-SV14-O-S11</v>
      </c>
      <c r="U11" s="80" t="str">
        <f t="shared" ref="U11" si="25">CONCATENATE("/",LOWER(B11),"/",LOWER(LEFT(G11,4)),"/wasApp")</f>
        <v>/sv1/sv14/wasApp</v>
      </c>
      <c r="V11" s="80" t="str">
        <f t="shared" ref="V11" si="26">CONCATENATE("/log/jboss7/",I11,"/",L11)</f>
        <v>/log/jboss7/P-SV14-O/P-SV14-O-S11</v>
      </c>
      <c r="W11" s="79" t="s">
        <v>86</v>
      </c>
      <c r="X11" s="82" t="s">
        <v>87</v>
      </c>
      <c r="Y11" s="82">
        <v>9998</v>
      </c>
      <c r="Z11" s="80" t="str">
        <f>"http://40.10.22.156:"&amp;VLOOKUP(L11,'WAS Instance'!$M$7:$T$98,6,0)&amp;"/console"</f>
        <v>http://40.10.22.156:13059/console</v>
      </c>
      <c r="AA11" s="80"/>
      <c r="AB11" s="171"/>
      <c r="AC11" s="163" t="str">
        <f t="shared" ref="AC11" si="27">CONCATENATE("/web/jws3/domains/",I11,"/",L11)</f>
        <v>/web/jws3/domains/P-SV14-O/P-SV14-O-S11</v>
      </c>
      <c r="AD11" s="80" t="str">
        <f t="shared" ref="AD11" si="28">CONCATENATE("/",LOWER(B11),"/",LOWER(LEFT(G11,4)),"/webApp")</f>
        <v>/sv1/sv14/webApp</v>
      </c>
      <c r="AE11" s="80" t="str">
        <f t="shared" ref="AE11" si="29">CONCATENATE("/log/jws3/",I11,"/",L11)</f>
        <v>/log/jws3/P-SV14-O/P-SV14-O-S11</v>
      </c>
      <c r="AF11" s="79" t="s">
        <v>86</v>
      </c>
      <c r="AG11" s="82" t="s">
        <v>87</v>
      </c>
      <c r="AH11" s="82">
        <v>9998</v>
      </c>
      <c r="AI11" s="79" t="s">
        <v>419</v>
      </c>
      <c r="AJ11" s="80"/>
      <c r="AK11" s="79" t="s">
        <v>702</v>
      </c>
    </row>
    <row r="12" spans="1:37" s="51" customFormat="1" ht="16.5" customHeight="1" thickBot="1" x14ac:dyDescent="0.35">
      <c r="A12" s="75" t="s">
        <v>12</v>
      </c>
      <c r="B12" s="75" t="s">
        <v>455</v>
      </c>
      <c r="C12" s="75">
        <v>1</v>
      </c>
      <c r="D12" s="76" t="s">
        <v>278</v>
      </c>
      <c r="E12" s="52" t="str">
        <f t="shared" si="0"/>
        <v>pflbap01</v>
      </c>
      <c r="F12" s="73" t="s">
        <v>460</v>
      </c>
      <c r="G12" s="77" t="str">
        <f>VLOOKUP(F12,'Domain별 코드 체계'!$B$5:$J$30,7,0)</f>
        <v>SF11</v>
      </c>
      <c r="H12" s="127" t="s">
        <v>318</v>
      </c>
      <c r="I12" s="78" t="str">
        <f t="shared" si="1"/>
        <v>P-SF11-O</v>
      </c>
      <c r="J12" s="132" t="s">
        <v>88</v>
      </c>
      <c r="K12" s="193">
        <v>1</v>
      </c>
      <c r="L12" s="192" t="str">
        <f t="shared" si="2"/>
        <v>P-SF11-O-F11</v>
      </c>
      <c r="M12" s="80" t="str">
        <f t="shared" si="3"/>
        <v>P-SF11-O-A11</v>
      </c>
      <c r="N12" s="80">
        <f t="shared" si="4"/>
        <v>2048</v>
      </c>
      <c r="O12" s="80">
        <f t="shared" si="5"/>
        <v>768</v>
      </c>
      <c r="P12" s="80">
        <f t="shared" si="6"/>
        <v>768</v>
      </c>
      <c r="Q12" s="80">
        <f t="shared" si="7"/>
        <v>512</v>
      </c>
      <c r="R12" s="80">
        <f t="shared" si="8"/>
        <v>512</v>
      </c>
      <c r="S12" s="79" t="s">
        <v>80</v>
      </c>
      <c r="T12" s="192" t="str">
        <f t="shared" si="12"/>
        <v>/was/jboss7/domains/P-SF11-O/P-SF11-O-F11</v>
      </c>
      <c r="U12" s="192" t="str">
        <f t="shared" si="9"/>
        <v>/sf1/sf11/wasApp</v>
      </c>
      <c r="V12" s="192" t="str">
        <f t="shared" si="10"/>
        <v>/log/jboss7/P-SF11-O/P-SF11-O-F11</v>
      </c>
      <c r="W12" s="193" t="s">
        <v>86</v>
      </c>
      <c r="X12" s="194" t="s">
        <v>87</v>
      </c>
      <c r="Y12" s="194">
        <v>9998</v>
      </c>
      <c r="Z12" s="192" t="str">
        <f>"http://40.10.22.156:"&amp;VLOOKUP(L12,'WAS Instance'!$M$7:$T$98,6,0)&amp;"/console"</f>
        <v>http://40.10.22.156:13121/console</v>
      </c>
      <c r="AA12" s="80"/>
      <c r="AB12" s="171"/>
      <c r="AC12" s="163" t="str">
        <f t="shared" si="14"/>
        <v>/web/jws3/domains/P-SF11-O/P-SF11-O-F11</v>
      </c>
      <c r="AD12" s="80" t="str">
        <f t="shared" si="11"/>
        <v>/sf1/sf11/webApp</v>
      </c>
      <c r="AE12" s="80" t="str">
        <f t="shared" si="13"/>
        <v>/log/jws3/P-SF11-O/P-SF11-O-F11</v>
      </c>
      <c r="AF12" s="79" t="s">
        <v>86</v>
      </c>
      <c r="AG12" s="82" t="s">
        <v>87</v>
      </c>
      <c r="AH12" s="82">
        <v>9998</v>
      </c>
      <c r="AI12" s="79" t="s">
        <v>419</v>
      </c>
      <c r="AJ12" s="80"/>
      <c r="AK12" s="79" t="s">
        <v>701</v>
      </c>
    </row>
    <row r="13" spans="1:37" s="51" customFormat="1" ht="16.5" customHeight="1" x14ac:dyDescent="0.3">
      <c r="A13" s="89" t="s">
        <v>12</v>
      </c>
      <c r="B13" s="90" t="s">
        <v>392</v>
      </c>
      <c r="C13" s="90">
        <v>2</v>
      </c>
      <c r="D13" s="91" t="s">
        <v>286</v>
      </c>
      <c r="E13" s="91" t="str">
        <f t="shared" si="0"/>
        <v>pflbap02</v>
      </c>
      <c r="F13" s="92" t="s">
        <v>413</v>
      </c>
      <c r="G13" s="93" t="str">
        <f>VLOOKUP(F13,'Domain별 코드 체계'!$B$5:$J$29,7,0)</f>
        <v>SV11</v>
      </c>
      <c r="H13" s="128" t="s">
        <v>5</v>
      </c>
      <c r="I13" s="94" t="str">
        <f t="shared" si="1"/>
        <v>P-SV11-O</v>
      </c>
      <c r="J13" s="133" t="s">
        <v>88</v>
      </c>
      <c r="K13" s="90">
        <v>1</v>
      </c>
      <c r="L13" s="91" t="str">
        <f t="shared" si="2"/>
        <v>P-SV11-O-F21</v>
      </c>
      <c r="M13" s="91" t="str">
        <f t="shared" si="3"/>
        <v>P-SV11-O-A11</v>
      </c>
      <c r="N13" s="91">
        <f t="shared" si="4"/>
        <v>2048</v>
      </c>
      <c r="O13" s="91">
        <f t="shared" si="5"/>
        <v>768</v>
      </c>
      <c r="P13" s="91">
        <f t="shared" si="6"/>
        <v>768</v>
      </c>
      <c r="Q13" s="91">
        <f t="shared" si="7"/>
        <v>512</v>
      </c>
      <c r="R13" s="91">
        <f t="shared" si="8"/>
        <v>512</v>
      </c>
      <c r="S13" s="90" t="s">
        <v>80</v>
      </c>
      <c r="T13" s="91" t="str">
        <f>CONCATENATE("/was/jboss7/domains/",I13,"/",L13)</f>
        <v>/was/jboss7/domains/P-SV11-O/P-SV11-O-F21</v>
      </c>
      <c r="U13" s="91" t="str">
        <f t="shared" si="9"/>
        <v>/sv1/sv11/wasApp</v>
      </c>
      <c r="V13" s="91" t="str">
        <f t="shared" si="10"/>
        <v>/log/jboss7/P-SV11-O/P-SV11-O-F21</v>
      </c>
      <c r="W13" s="90" t="s">
        <v>86</v>
      </c>
      <c r="X13" s="114" t="s">
        <v>87</v>
      </c>
      <c r="Y13" s="114">
        <v>9998</v>
      </c>
      <c r="Z13" s="91" t="str">
        <f>"http://40.10.22.156:"&amp;VLOOKUP(L13,'WAS Instance'!$M$7:$T$98,6,0)&amp;"/console"</f>
        <v>http://40.10.22.156:13021/console</v>
      </c>
      <c r="AA13" s="91"/>
      <c r="AB13" s="172"/>
      <c r="AC13" s="164" t="str">
        <f t="shared" si="14"/>
        <v>/web/jws3/domains/P-SV11-O/P-SV11-O-F21</v>
      </c>
      <c r="AD13" s="91" t="str">
        <f t="shared" si="11"/>
        <v>/sv1/sv11/webApp</v>
      </c>
      <c r="AE13" s="91" t="str">
        <f t="shared" si="13"/>
        <v>/log/jws3/P-SV11-O/P-SV11-O-F21</v>
      </c>
      <c r="AF13" s="90" t="s">
        <v>86</v>
      </c>
      <c r="AG13" s="114" t="s">
        <v>87</v>
      </c>
      <c r="AH13" s="114">
        <v>9998</v>
      </c>
      <c r="AI13" s="90" t="s">
        <v>419</v>
      </c>
      <c r="AJ13" s="91"/>
      <c r="AK13" s="253" t="s">
        <v>702</v>
      </c>
    </row>
    <row r="14" spans="1:37" s="51" customFormat="1" ht="16.5" customHeight="1" x14ac:dyDescent="0.3">
      <c r="A14" s="100" t="s">
        <v>12</v>
      </c>
      <c r="B14" s="8" t="s">
        <v>392</v>
      </c>
      <c r="C14" s="8">
        <v>2</v>
      </c>
      <c r="D14" s="52" t="s">
        <v>286</v>
      </c>
      <c r="E14" s="52" t="str">
        <f t="shared" si="0"/>
        <v>pflbap02</v>
      </c>
      <c r="F14" s="9" t="s">
        <v>413</v>
      </c>
      <c r="G14" s="33" t="str">
        <f>VLOOKUP(F14,'Domain별 코드 체계'!$B$5:$J$29,7,0)</f>
        <v>SV11</v>
      </c>
      <c r="H14" s="126" t="s">
        <v>5</v>
      </c>
      <c r="I14" s="10" t="str">
        <f t="shared" si="1"/>
        <v>P-SV11-O</v>
      </c>
      <c r="J14" s="131" t="s">
        <v>88</v>
      </c>
      <c r="K14" s="8">
        <v>2</v>
      </c>
      <c r="L14" s="201" t="str">
        <f t="shared" si="2"/>
        <v>P-SV11-O-F22</v>
      </c>
      <c r="M14" s="201" t="str">
        <f t="shared" si="3"/>
        <v>P-SV11-O-A11</v>
      </c>
      <c r="N14" s="201">
        <f t="shared" si="4"/>
        <v>2048</v>
      </c>
      <c r="O14" s="201">
        <f t="shared" si="5"/>
        <v>768</v>
      </c>
      <c r="P14" s="201">
        <f t="shared" si="6"/>
        <v>768</v>
      </c>
      <c r="Q14" s="201">
        <f t="shared" si="7"/>
        <v>512</v>
      </c>
      <c r="R14" s="201">
        <f t="shared" si="8"/>
        <v>512</v>
      </c>
      <c r="S14" s="202" t="s">
        <v>80</v>
      </c>
      <c r="T14" s="199" t="str">
        <f t="shared" si="12"/>
        <v>/was/jboss7/domains/P-SV11-O/P-SV11-O-F22</v>
      </c>
      <c r="U14" s="199" t="str">
        <f t="shared" si="9"/>
        <v>/sv1/sv11/wasApp</v>
      </c>
      <c r="V14" s="201" t="str">
        <f t="shared" si="10"/>
        <v>/log/jboss7/P-SV11-O/P-SV11-O-F22</v>
      </c>
      <c r="W14" s="202" t="s">
        <v>86</v>
      </c>
      <c r="X14" s="203" t="s">
        <v>87</v>
      </c>
      <c r="Y14" s="203">
        <v>9998</v>
      </c>
      <c r="Z14" s="201" t="str">
        <f>"http://40.10.22.156:"&amp;VLOOKUP(L14,'WAS Instance'!$M$7:$T$98,6,0)&amp;"/console"</f>
        <v>http://40.10.22.156:13022/console</v>
      </c>
      <c r="AA14" s="52"/>
      <c r="AB14" s="173"/>
      <c r="AC14" s="162" t="str">
        <f t="shared" si="14"/>
        <v>/web/jws3/domains/P-SV11-O/P-SV11-O-F22</v>
      </c>
      <c r="AD14" s="57" t="str">
        <f t="shared" si="11"/>
        <v>/sv1/sv11/webApp</v>
      </c>
      <c r="AE14" s="57" t="str">
        <f t="shared" si="13"/>
        <v>/log/jws3/P-SV11-O/P-SV11-O-F22</v>
      </c>
      <c r="AF14" s="8" t="s">
        <v>86</v>
      </c>
      <c r="AG14" s="116" t="s">
        <v>87</v>
      </c>
      <c r="AH14" s="116">
        <v>9998</v>
      </c>
      <c r="AI14" s="8" t="s">
        <v>419</v>
      </c>
      <c r="AJ14" s="52"/>
      <c r="AK14" s="254" t="s">
        <v>701</v>
      </c>
    </row>
    <row r="15" spans="1:37" s="51" customFormat="1" ht="16.5" customHeight="1" x14ac:dyDescent="0.3">
      <c r="A15" s="100" t="s">
        <v>12</v>
      </c>
      <c r="B15" s="8" t="s">
        <v>392</v>
      </c>
      <c r="C15" s="8">
        <v>2</v>
      </c>
      <c r="D15" s="52" t="s">
        <v>286</v>
      </c>
      <c r="E15" s="52" t="str">
        <f t="shared" ref="E15:E16" si="30">CONCATENATE(A15,"sfb","ap0",C15)</f>
        <v>psfbap02</v>
      </c>
      <c r="F15" s="9" t="s">
        <v>396</v>
      </c>
      <c r="G15" s="33" t="str">
        <f>VLOOKUP(F15,'Domain별 코드 체계'!$B$5:$J$29,7,0)</f>
        <v>SV12</v>
      </c>
      <c r="H15" s="126" t="s">
        <v>5</v>
      </c>
      <c r="I15" s="10" t="str">
        <f t="shared" si="1"/>
        <v>P-SV12-O</v>
      </c>
      <c r="J15" s="131" t="s">
        <v>308</v>
      </c>
      <c r="K15" s="8">
        <v>1</v>
      </c>
      <c r="L15" s="52" t="str">
        <f t="shared" si="2"/>
        <v>P-SV12-O-S21</v>
      </c>
      <c r="M15" s="52" t="str">
        <f t="shared" si="3"/>
        <v>P-SV12-O-A11</v>
      </c>
      <c r="N15" s="52">
        <f t="shared" si="4"/>
        <v>1024</v>
      </c>
      <c r="O15" s="52">
        <f t="shared" si="5"/>
        <v>256</v>
      </c>
      <c r="P15" s="52">
        <f t="shared" si="6"/>
        <v>256</v>
      </c>
      <c r="Q15" s="52">
        <f t="shared" si="7"/>
        <v>256</v>
      </c>
      <c r="R15" s="52">
        <f t="shared" si="8"/>
        <v>256</v>
      </c>
      <c r="S15" s="8" t="s">
        <v>80</v>
      </c>
      <c r="T15" s="57" t="str">
        <f t="shared" si="12"/>
        <v>/was/jboss7/domains/P-SV12-O/P-SV12-O-S21</v>
      </c>
      <c r="U15" s="57" t="str">
        <f t="shared" ref="U15" si="31">CONCATENATE("/",LOWER(B15),"/",LOWER(LEFT(G15,4)),"/wasApps")</f>
        <v>/sv1/sv12/wasApps</v>
      </c>
      <c r="V15" s="52" t="str">
        <f t="shared" si="10"/>
        <v>/log/jboss7/P-SV12-O/P-SV12-O-S21</v>
      </c>
      <c r="W15" s="8" t="s">
        <v>86</v>
      </c>
      <c r="X15" s="116" t="s">
        <v>87</v>
      </c>
      <c r="Y15" s="116">
        <v>9998</v>
      </c>
      <c r="Z15" s="52" t="str">
        <f>"http://40.10.22.156:"&amp;VLOOKUP(L15,'WAS Instance'!$M$7:$T$98,6,0)&amp;"/console"</f>
        <v>http://40.10.22.156:13039/console</v>
      </c>
      <c r="AA15" s="52"/>
      <c r="AB15" s="173"/>
      <c r="AC15" s="162" t="str">
        <f t="shared" si="14"/>
        <v>/web/jws3/domains/P-SV12-O/P-SV12-O-S21</v>
      </c>
      <c r="AD15" s="57" t="str">
        <f t="shared" si="11"/>
        <v>/sv1/sv12/webApp</v>
      </c>
      <c r="AE15" s="57" t="str">
        <f t="shared" si="13"/>
        <v>/log/jws3/P-SV12-O/P-SV12-O-S21</v>
      </c>
      <c r="AF15" s="8" t="s">
        <v>86</v>
      </c>
      <c r="AG15" s="116" t="s">
        <v>87</v>
      </c>
      <c r="AH15" s="116">
        <v>9998</v>
      </c>
      <c r="AI15" s="8" t="s">
        <v>419</v>
      </c>
      <c r="AJ15" s="52"/>
      <c r="AK15" s="254" t="s">
        <v>702</v>
      </c>
    </row>
    <row r="16" spans="1:37" s="51" customFormat="1" ht="16.5" customHeight="1" x14ac:dyDescent="0.3">
      <c r="A16" s="100" t="s">
        <v>12</v>
      </c>
      <c r="B16" s="8" t="s">
        <v>392</v>
      </c>
      <c r="C16" s="8">
        <v>2</v>
      </c>
      <c r="D16" s="52" t="s">
        <v>286</v>
      </c>
      <c r="E16" s="52" t="str">
        <f t="shared" si="30"/>
        <v>psfbap02</v>
      </c>
      <c r="F16" s="9" t="s">
        <v>412</v>
      </c>
      <c r="G16" s="33" t="str">
        <f>VLOOKUP(F16,'Domain별 코드 체계'!$B$5:$J$29,7,0)</f>
        <v>SV13</v>
      </c>
      <c r="H16" s="126" t="s">
        <v>5</v>
      </c>
      <c r="I16" s="10" t="str">
        <f t="shared" si="1"/>
        <v>P-SV13-O</v>
      </c>
      <c r="J16" s="131" t="s">
        <v>88</v>
      </c>
      <c r="K16" s="8">
        <v>1</v>
      </c>
      <c r="L16" s="52" t="str">
        <f t="shared" si="2"/>
        <v>P-SV13-O-F21</v>
      </c>
      <c r="M16" s="52" t="str">
        <f t="shared" si="3"/>
        <v>P-SV13-O-A11</v>
      </c>
      <c r="N16" s="52">
        <f t="shared" si="4"/>
        <v>2048</v>
      </c>
      <c r="O16" s="52">
        <f t="shared" si="5"/>
        <v>768</v>
      </c>
      <c r="P16" s="52">
        <f t="shared" si="6"/>
        <v>768</v>
      </c>
      <c r="Q16" s="52">
        <f t="shared" si="7"/>
        <v>512</v>
      </c>
      <c r="R16" s="52">
        <f t="shared" si="8"/>
        <v>512</v>
      </c>
      <c r="S16" s="8" t="s">
        <v>56</v>
      </c>
      <c r="T16" s="57" t="str">
        <f t="shared" si="12"/>
        <v>/was/jboss7/domains/P-SV13-O/P-SV13-O-F21</v>
      </c>
      <c r="U16" s="57" t="str">
        <f>CONCATENATE("/",LOWER(B16),"/",LOWER(LEFT(G16,4)),"/wasApp")</f>
        <v>/sv1/sv13/wasApp</v>
      </c>
      <c r="V16" s="52" t="str">
        <f t="shared" si="10"/>
        <v>/log/jboss7/P-SV13-O/P-SV13-O-F21</v>
      </c>
      <c r="W16" s="8" t="s">
        <v>86</v>
      </c>
      <c r="X16" s="116" t="s">
        <v>87</v>
      </c>
      <c r="Y16" s="116">
        <v>9998</v>
      </c>
      <c r="Z16" s="52" t="str">
        <f>"http://40.10.22.156:"&amp;VLOOKUP(L16,'WAS Instance'!$M$7:$T$98,6,0)&amp;"/console"</f>
        <v>http://40.10.22.156:13041/console</v>
      </c>
      <c r="AA16" s="52"/>
      <c r="AB16" s="173"/>
      <c r="AC16" s="162" t="str">
        <f t="shared" si="14"/>
        <v>/web/jws3/domains/P-SV13-O/P-SV13-O-F21</v>
      </c>
      <c r="AD16" s="57" t="str">
        <f t="shared" si="11"/>
        <v>/sv1/sv13/webApp</v>
      </c>
      <c r="AE16" s="57" t="str">
        <f t="shared" si="13"/>
        <v>/log/jws3/P-SV13-O/P-SV13-O-F21</v>
      </c>
      <c r="AF16" s="8" t="s">
        <v>86</v>
      </c>
      <c r="AG16" s="116" t="s">
        <v>87</v>
      </c>
      <c r="AH16" s="116">
        <v>9998</v>
      </c>
      <c r="AI16" s="8" t="s">
        <v>419</v>
      </c>
      <c r="AJ16" s="52"/>
      <c r="AK16" s="254" t="s">
        <v>702</v>
      </c>
    </row>
    <row r="17" spans="1:37" s="51" customFormat="1" ht="16.5" customHeight="1" x14ac:dyDescent="0.3">
      <c r="A17" s="100" t="s">
        <v>473</v>
      </c>
      <c r="B17" s="8" t="s">
        <v>465</v>
      </c>
      <c r="C17" s="8">
        <v>2</v>
      </c>
      <c r="D17" s="52" t="s">
        <v>474</v>
      </c>
      <c r="E17" s="52" t="str">
        <f>CONCATENATE(A17,"flb","ap0",C17)</f>
        <v>pflbap02</v>
      </c>
      <c r="F17" s="9" t="s">
        <v>467</v>
      </c>
      <c r="G17" s="33" t="str">
        <f>VLOOKUP(F17,'Domain별 코드 체계'!$B$5:$J$29,7,0)</f>
        <v>SV14</v>
      </c>
      <c r="H17" s="126" t="s">
        <v>318</v>
      </c>
      <c r="I17" s="10" t="str">
        <f t="shared" ref="I17" si="32">CONCATENATE(UPPER(IF(A17="d","P",A17)),"-",G17,"-",H17)</f>
        <v>P-SV14-O</v>
      </c>
      <c r="J17" s="131" t="s">
        <v>308</v>
      </c>
      <c r="K17" s="8">
        <v>1</v>
      </c>
      <c r="L17" s="52" t="str">
        <f t="shared" ref="L17" si="33">CONCATENATE(I17,"-",J17,C17,K17)</f>
        <v>P-SV14-O-S21</v>
      </c>
      <c r="M17" s="52" t="str">
        <f t="shared" ref="M17" si="34">IF(J17="A","",CONCATENATE(I17,"-A11"))</f>
        <v>P-SV14-O-A11</v>
      </c>
      <c r="N17" s="52">
        <f t="shared" ref="N17" si="35">IF(J17="A",512,IF(J17="F",2048,IF(J17="S",1024)))</f>
        <v>1024</v>
      </c>
      <c r="O17" s="52">
        <f t="shared" ref="O17" si="36">IF(J17="A","",IF(J17="F",(N17/16)*6,IF(J17="S",N17/4)))</f>
        <v>256</v>
      </c>
      <c r="P17" s="52">
        <f t="shared" ref="P17" si="37">O17</f>
        <v>256</v>
      </c>
      <c r="Q17" s="52">
        <f t="shared" ref="Q17" si="38">IF(J17="A","",IF(J17="F",(N17/16)*4,IF(J17="S",N17/4)))</f>
        <v>256</v>
      </c>
      <c r="R17" s="52">
        <f t="shared" ref="R17" si="39">Q17</f>
        <v>256</v>
      </c>
      <c r="S17" s="8" t="s">
        <v>469</v>
      </c>
      <c r="T17" s="57" t="str">
        <f t="shared" ref="T17" si="40">CONCATENATE("/was/jboss7/domains/",I17,"/",L17)</f>
        <v>/was/jboss7/domains/P-SV14-O/P-SV14-O-S21</v>
      </c>
      <c r="U17" s="57" t="str">
        <f>CONCATENATE("/",LOWER(B17),"/",LOWER(LEFT(G17,4)),"/wasApp")</f>
        <v>/sv1/sv14/wasApp</v>
      </c>
      <c r="V17" s="52" t="str">
        <f t="shared" ref="V17" si="41">CONCATENATE("/log/jboss7/",I17,"/",L17)</f>
        <v>/log/jboss7/P-SV14-O/P-SV14-O-S21</v>
      </c>
      <c r="W17" s="8" t="s">
        <v>86</v>
      </c>
      <c r="X17" s="116" t="s">
        <v>475</v>
      </c>
      <c r="Y17" s="116">
        <v>9998</v>
      </c>
      <c r="Z17" s="52" t="str">
        <f>"http://40.10.22.156:"&amp;VLOOKUP(L17,'WAS Instance'!$M$7:$T$98,6,0)&amp;"/console"</f>
        <v>http://40.10.22.156:13059/console</v>
      </c>
      <c r="AA17" s="52"/>
      <c r="AB17" s="173"/>
      <c r="AC17" s="162" t="str">
        <f t="shared" ref="AC17" si="42">CONCATENATE("/web/jws3/domains/",I17,"/",L17)</f>
        <v>/web/jws3/domains/P-SV14-O/P-SV14-O-S21</v>
      </c>
      <c r="AD17" s="57" t="str">
        <f t="shared" ref="AD17" si="43">CONCATENATE("/",LOWER(B17),"/",LOWER(LEFT(G17,4)),"/webApp")</f>
        <v>/sv1/sv14/webApp</v>
      </c>
      <c r="AE17" s="57" t="str">
        <f t="shared" ref="AE17" si="44">CONCATENATE("/log/jws3/",I17,"/",L17)</f>
        <v>/log/jws3/P-SV14-O/P-SV14-O-S21</v>
      </c>
      <c r="AF17" s="8" t="s">
        <v>86</v>
      </c>
      <c r="AG17" s="116" t="s">
        <v>475</v>
      </c>
      <c r="AH17" s="116">
        <v>9998</v>
      </c>
      <c r="AI17" s="8" t="s">
        <v>476</v>
      </c>
      <c r="AJ17" s="52"/>
      <c r="AK17" s="254" t="s">
        <v>702</v>
      </c>
    </row>
    <row r="18" spans="1:37" s="51" customFormat="1" ht="16.5" customHeight="1" thickBot="1" x14ac:dyDescent="0.35">
      <c r="A18" s="102" t="s">
        <v>12</v>
      </c>
      <c r="B18" s="103" t="s">
        <v>455</v>
      </c>
      <c r="C18" s="103">
        <v>2</v>
      </c>
      <c r="D18" s="104" t="s">
        <v>286</v>
      </c>
      <c r="E18" s="104" t="str">
        <f>CONCATENATE(A18,"flb","ap0",C18)</f>
        <v>pflbap02</v>
      </c>
      <c r="F18" s="105" t="s">
        <v>460</v>
      </c>
      <c r="G18" s="106" t="str">
        <f>VLOOKUP(F18,'Domain별 코드 체계'!$B$5:$J$30,7,0)</f>
        <v>SF11</v>
      </c>
      <c r="H18" s="129" t="s">
        <v>318</v>
      </c>
      <c r="I18" s="107" t="str">
        <f t="shared" si="1"/>
        <v>P-SF11-O</v>
      </c>
      <c r="J18" s="134" t="s">
        <v>88</v>
      </c>
      <c r="K18" s="103">
        <v>1</v>
      </c>
      <c r="L18" s="104" t="str">
        <f t="shared" si="2"/>
        <v>P-SF11-O-F21</v>
      </c>
      <c r="M18" s="104" t="str">
        <f t="shared" si="3"/>
        <v>P-SF11-O-A11</v>
      </c>
      <c r="N18" s="104">
        <f t="shared" si="4"/>
        <v>2048</v>
      </c>
      <c r="O18" s="104">
        <f t="shared" si="5"/>
        <v>768</v>
      </c>
      <c r="P18" s="104">
        <f t="shared" si="6"/>
        <v>768</v>
      </c>
      <c r="Q18" s="104">
        <f t="shared" si="7"/>
        <v>512</v>
      </c>
      <c r="R18" s="104">
        <f t="shared" si="8"/>
        <v>512</v>
      </c>
      <c r="S18" s="103" t="s">
        <v>80</v>
      </c>
      <c r="T18" s="195" t="str">
        <f t="shared" si="12"/>
        <v>/was/jboss7/domains/P-SF11-O/P-SF11-O-F21</v>
      </c>
      <c r="U18" s="195" t="str">
        <f>CONCATENATE("/",LOWER(B18),"/",LOWER(LEFT(G18,4)),"/wasApp")</f>
        <v>/sf1/sf11/wasApp</v>
      </c>
      <c r="V18" s="195" t="str">
        <f t="shared" si="10"/>
        <v>/log/jboss7/P-SF11-O/P-SF11-O-F21</v>
      </c>
      <c r="W18" s="196" t="s">
        <v>86</v>
      </c>
      <c r="X18" s="197" t="s">
        <v>87</v>
      </c>
      <c r="Y18" s="197">
        <v>9998</v>
      </c>
      <c r="Z18" s="195" t="str">
        <f>"http://40.10.22.156:"&amp;VLOOKUP(L18,'WAS Instance'!$M$7:$T$98,6,0)&amp;"/console"</f>
        <v>http://40.10.22.156:13121/console</v>
      </c>
      <c r="AA18" s="104"/>
      <c r="AB18" s="174"/>
      <c r="AC18" s="165" t="str">
        <f t="shared" si="14"/>
        <v>/web/jws3/domains/P-SF11-O/P-SF11-O-F21</v>
      </c>
      <c r="AD18" s="104" t="str">
        <f t="shared" si="11"/>
        <v>/sf1/sf11/webApp</v>
      </c>
      <c r="AE18" s="104" t="str">
        <f t="shared" si="13"/>
        <v>/log/jws3/P-SF11-O/P-SF11-O-F21</v>
      </c>
      <c r="AF18" s="103" t="s">
        <v>86</v>
      </c>
      <c r="AG18" s="119" t="s">
        <v>87</v>
      </c>
      <c r="AH18" s="119">
        <v>9998</v>
      </c>
      <c r="AI18" s="103" t="s">
        <v>419</v>
      </c>
      <c r="AJ18" s="104"/>
      <c r="AK18" s="255" t="s">
        <v>701</v>
      </c>
    </row>
    <row r="19" spans="1:37" s="74" customFormat="1" ht="4.5" customHeight="1" x14ac:dyDescent="0.3">
      <c r="A19" s="83"/>
      <c r="B19" s="83"/>
      <c r="C19" s="83"/>
      <c r="D19" s="84"/>
      <c r="E19" s="84"/>
      <c r="F19" s="85"/>
      <c r="G19" s="86"/>
      <c r="H19" s="84"/>
      <c r="I19" s="83"/>
      <c r="J19" s="83"/>
      <c r="K19" s="83"/>
      <c r="L19" s="84"/>
      <c r="M19" s="84"/>
      <c r="N19" s="84"/>
      <c r="O19" s="84"/>
      <c r="P19" s="84"/>
      <c r="Q19" s="84"/>
      <c r="R19" s="84"/>
      <c r="S19" s="83"/>
      <c r="T19" s="84" t="str">
        <f>CONCATENATE("/was/jboss7/domains/",I19,"/",L19)</f>
        <v>/was/jboss7/domains//</v>
      </c>
      <c r="U19" s="84"/>
      <c r="V19" s="84"/>
      <c r="W19" s="83"/>
      <c r="X19" s="88"/>
      <c r="Y19" s="88"/>
      <c r="Z19" s="84" t="e">
        <f>"http://40.10.22.156:"&amp;VLOOKUP(L19,'WAS Instance'!$M$7:$T$98,6,0)&amp;"/console"</f>
        <v>#N/A</v>
      </c>
      <c r="AA19" s="84"/>
      <c r="AB19" s="175"/>
      <c r="AC19" s="166" t="str">
        <f t="shared" si="14"/>
        <v>/web/jws3/domains//</v>
      </c>
      <c r="AD19" s="84" t="str">
        <f t="shared" ref="AD19:AD59" si="45">CONCATENATE("/",LOWER(B19),"/",LOWER(LEFT(G19,4)),"/webApps")</f>
        <v>///webApps</v>
      </c>
      <c r="AE19" s="84" t="str">
        <f t="shared" si="13"/>
        <v>/log/jws3//</v>
      </c>
      <c r="AF19" s="83"/>
      <c r="AG19" s="88"/>
      <c r="AH19" s="88"/>
      <c r="AI19" s="83" t="s">
        <v>419</v>
      </c>
      <c r="AJ19" s="84"/>
      <c r="AK19" s="84"/>
    </row>
    <row r="20" spans="1:37" s="51" customFormat="1" ht="16.5" customHeight="1" x14ac:dyDescent="0.3">
      <c r="A20" s="8" t="s">
        <v>12</v>
      </c>
      <c r="B20" s="157" t="s">
        <v>222</v>
      </c>
      <c r="C20" s="8">
        <v>1</v>
      </c>
      <c r="D20" s="52" t="s">
        <v>285</v>
      </c>
      <c r="E20" s="52" t="str">
        <f>CONCATENATE(A20,"ico","ap0",C20)</f>
        <v>picoap01</v>
      </c>
      <c r="F20" s="9" t="s">
        <v>112</v>
      </c>
      <c r="G20" s="33" t="str">
        <f>VLOOKUP(F20,'Domain별 코드 체계'!$B$5:$J$29,7,0)</f>
        <v>BE11</v>
      </c>
      <c r="H20" s="126" t="s">
        <v>5</v>
      </c>
      <c r="I20" s="10" t="str">
        <f t="shared" ref="I20:I53" si="46">CONCATENATE(UPPER(IF(A20="d","P",A20)),"-",G20,"-",H20)</f>
        <v>P-BE11-O</v>
      </c>
      <c r="J20" s="131" t="s">
        <v>88</v>
      </c>
      <c r="K20" s="157">
        <v>1</v>
      </c>
      <c r="L20" s="57" t="str">
        <f t="shared" ref="L20:L53" si="47">CONCATENATE(I20,"-",J20,C20,K20)</f>
        <v>P-BE11-O-F11</v>
      </c>
      <c r="M20" s="57" t="str">
        <f t="shared" ref="M20:M53" si="48">IF(J20="A","",CONCATENATE(I20,"-A11"))</f>
        <v>P-BE11-O-A11</v>
      </c>
      <c r="N20" s="57">
        <f t="shared" ref="N20:N53" si="49">IF(J20="A",512,IF(J20="F",2048,IF(J20="S",1024)))</f>
        <v>2048</v>
      </c>
      <c r="O20" s="57">
        <f t="shared" ref="O20:O53" si="50">IF(J20="A","",IF(J20="F",(N20/16)*6,IF(J20="S",N20/4)))</f>
        <v>768</v>
      </c>
      <c r="P20" s="57">
        <f t="shared" ref="P20:P53" si="51">O20</f>
        <v>768</v>
      </c>
      <c r="Q20" s="57">
        <f t="shared" ref="Q20:Q53" si="52">IF(J20="A","",IF(J20="F",(N20/16)*4,IF(J20="S",N20/4)))</f>
        <v>512</v>
      </c>
      <c r="R20" s="57">
        <f t="shared" ref="R20:R53" si="53">Q20</f>
        <v>512</v>
      </c>
      <c r="S20" s="157" t="s">
        <v>80</v>
      </c>
      <c r="T20" s="57" t="str">
        <f t="shared" si="12"/>
        <v>/was/jboss7/domains/P-BE11-O/P-BE11-O-F11</v>
      </c>
      <c r="U20" s="57" t="str">
        <f>CONCATENATE("/",LOWER(B20),"/",LOWER(LEFT(G20,4)),"/wasApp")</f>
        <v>/be1/be11/wasApp</v>
      </c>
      <c r="V20" s="57" t="str">
        <f t="shared" ref="V20:V53" si="54">CONCATENATE("/log/jboss7/",I20,"/",L20)</f>
        <v>/log/jboss7/P-BE11-O/P-BE11-O-F11</v>
      </c>
      <c r="W20" s="157" t="s">
        <v>86</v>
      </c>
      <c r="X20" s="13" t="s">
        <v>87</v>
      </c>
      <c r="Y20" s="13">
        <v>9998</v>
      </c>
      <c r="Z20" s="57" t="str">
        <f>"http://40.10.22.156:"&amp;VLOOKUP(L20,'WAS Instance'!$M$7:$T$98,6,0)&amp;"/console"</f>
        <v>http://40.10.22.156:14221/console</v>
      </c>
      <c r="AA20" s="57"/>
      <c r="AB20" s="170"/>
      <c r="AC20" s="162" t="str">
        <f t="shared" si="14"/>
        <v>/web/jws3/domains/P-BE11-O/P-BE11-O-F11</v>
      </c>
      <c r="AD20" s="57" t="str">
        <f>CONCATENATE("/",LOWER(B20),"/",LOWER(LEFT(G20,4)),"/webApp")</f>
        <v>/be1/be11/webApp</v>
      </c>
      <c r="AE20" s="57" t="str">
        <f t="shared" si="13"/>
        <v>/log/jws3/P-BE11-O/P-BE11-O-F11</v>
      </c>
      <c r="AF20" s="157" t="s">
        <v>86</v>
      </c>
      <c r="AG20" s="13" t="s">
        <v>87</v>
      </c>
      <c r="AH20" s="13">
        <v>9998</v>
      </c>
      <c r="AI20" s="160" t="s">
        <v>419</v>
      </c>
      <c r="AJ20" s="57"/>
      <c r="AK20" s="209" t="s">
        <v>699</v>
      </c>
    </row>
    <row r="21" spans="1:37" s="51" customFormat="1" ht="16.5" customHeight="1" x14ac:dyDescent="0.3">
      <c r="A21" s="8" t="s">
        <v>12</v>
      </c>
      <c r="B21" s="157" t="s">
        <v>222</v>
      </c>
      <c r="C21" s="8">
        <v>1</v>
      </c>
      <c r="D21" s="52" t="s">
        <v>285</v>
      </c>
      <c r="E21" s="52" t="str">
        <f>CONCATENATE(A21,"ico","ap0",C21)</f>
        <v>picoap01</v>
      </c>
      <c r="F21" s="9" t="s">
        <v>112</v>
      </c>
      <c r="G21" s="33" t="str">
        <f>VLOOKUP(F21,'Domain별 코드 체계'!$B$5:$J$29,7,0)</f>
        <v>BE11</v>
      </c>
      <c r="H21" s="126" t="s">
        <v>5</v>
      </c>
      <c r="I21" s="10" t="str">
        <f t="shared" si="46"/>
        <v>P-BE11-O</v>
      </c>
      <c r="J21" s="131" t="s">
        <v>88</v>
      </c>
      <c r="K21" s="157">
        <v>2</v>
      </c>
      <c r="L21" s="199" t="str">
        <f t="shared" si="47"/>
        <v>P-BE11-O-F12</v>
      </c>
      <c r="M21" s="199" t="str">
        <f t="shared" si="48"/>
        <v>P-BE11-O-A11</v>
      </c>
      <c r="N21" s="199">
        <f t="shared" si="49"/>
        <v>2048</v>
      </c>
      <c r="O21" s="199">
        <f t="shared" si="50"/>
        <v>768</v>
      </c>
      <c r="P21" s="199">
        <f t="shared" si="51"/>
        <v>768</v>
      </c>
      <c r="Q21" s="199">
        <f t="shared" si="52"/>
        <v>512</v>
      </c>
      <c r="R21" s="199">
        <f t="shared" si="53"/>
        <v>512</v>
      </c>
      <c r="S21" s="198" t="s">
        <v>80</v>
      </c>
      <c r="T21" s="199" t="str">
        <f t="shared" si="12"/>
        <v>/was/jboss7/domains/P-BE11-O/P-BE11-O-F12</v>
      </c>
      <c r="U21" s="199" t="str">
        <f>CONCATENATE("/",LOWER(B21),"/",LOWER(LEFT(G21,4)),"/wasApp")</f>
        <v>/be1/be11/wasApp</v>
      </c>
      <c r="V21" s="199" t="str">
        <f t="shared" si="54"/>
        <v>/log/jboss7/P-BE11-O/P-BE11-O-F12</v>
      </c>
      <c r="W21" s="198" t="s">
        <v>86</v>
      </c>
      <c r="X21" s="200" t="s">
        <v>87</v>
      </c>
      <c r="Y21" s="200">
        <v>9998</v>
      </c>
      <c r="Z21" s="199" t="str">
        <f>"http://40.10.22.156:"&amp;VLOOKUP(L21,'WAS Instance'!$M$7:$T$98,6,0)&amp;"/console"</f>
        <v>http://40.10.22.156:14222/console</v>
      </c>
      <c r="AA21" s="57"/>
      <c r="AB21" s="170"/>
      <c r="AC21" s="162" t="str">
        <f t="shared" si="14"/>
        <v>/web/jws3/domains/P-BE11-O/P-BE11-O-F12</v>
      </c>
      <c r="AD21" s="57" t="str">
        <f>CONCATENATE("/",LOWER(B21),"/",LOWER(LEFT(G21,4)),"/webApp")</f>
        <v>/be1/be11/webApp</v>
      </c>
      <c r="AE21" s="57" t="str">
        <f t="shared" si="13"/>
        <v>/log/jws3/P-BE11-O/P-BE11-O-F12</v>
      </c>
      <c r="AF21" s="157" t="s">
        <v>86</v>
      </c>
      <c r="AG21" s="13" t="s">
        <v>87</v>
      </c>
      <c r="AH21" s="13">
        <v>9998</v>
      </c>
      <c r="AI21" s="160" t="s">
        <v>419</v>
      </c>
      <c r="AJ21" s="57"/>
      <c r="AK21" s="209" t="s">
        <v>701</v>
      </c>
    </row>
    <row r="22" spans="1:37" s="51" customFormat="1" ht="16.5" customHeight="1" x14ac:dyDescent="0.3">
      <c r="A22" s="8" t="s">
        <v>12</v>
      </c>
      <c r="B22" s="8" t="s">
        <v>236</v>
      </c>
      <c r="C22" s="8">
        <v>1</v>
      </c>
      <c r="D22" s="52" t="s">
        <v>285</v>
      </c>
      <c r="E22" s="52" t="str">
        <f>CONCATENATE(A22,"ico","ap0",C22)</f>
        <v>picoap01</v>
      </c>
      <c r="F22" s="9" t="s">
        <v>210</v>
      </c>
      <c r="G22" s="33" t="str">
        <f>VLOOKUP(F22,'Domain별 코드 체계'!$B$5:$J$29,7,0)</f>
        <v>PQ11</v>
      </c>
      <c r="H22" s="126" t="s">
        <v>5</v>
      </c>
      <c r="I22" s="10" t="str">
        <f t="shared" si="46"/>
        <v>P-PQ11-O</v>
      </c>
      <c r="J22" s="131" t="s">
        <v>88</v>
      </c>
      <c r="K22" s="157">
        <v>1</v>
      </c>
      <c r="L22" s="57" t="str">
        <f t="shared" si="47"/>
        <v>P-PQ11-O-F11</v>
      </c>
      <c r="M22" s="57" t="str">
        <f t="shared" si="48"/>
        <v>P-PQ11-O-A11</v>
      </c>
      <c r="N22" s="57">
        <f t="shared" si="49"/>
        <v>2048</v>
      </c>
      <c r="O22" s="57">
        <f t="shared" si="50"/>
        <v>768</v>
      </c>
      <c r="P22" s="57">
        <f t="shared" si="51"/>
        <v>768</v>
      </c>
      <c r="Q22" s="57">
        <f t="shared" si="52"/>
        <v>512</v>
      </c>
      <c r="R22" s="57">
        <f t="shared" si="53"/>
        <v>512</v>
      </c>
      <c r="S22" s="157" t="s">
        <v>80</v>
      </c>
      <c r="T22" s="57" t="str">
        <f t="shared" si="12"/>
        <v>/was/jboss7/domains/P-PQ11-O/P-PQ11-O-F11</v>
      </c>
      <c r="U22" s="57" t="str">
        <f t="shared" ref="U22:U35" si="55">CONCATENATE("/",LOWER(B22),"/",LOWER(LEFT(G22,4)),"/wasApp")</f>
        <v>/pq1/pq11/wasApp</v>
      </c>
      <c r="V22" s="57" t="str">
        <f t="shared" si="54"/>
        <v>/log/jboss7/P-PQ11-O/P-PQ11-O-F11</v>
      </c>
      <c r="W22" s="157" t="s">
        <v>86</v>
      </c>
      <c r="X22" s="13" t="s">
        <v>87</v>
      </c>
      <c r="Y22" s="13">
        <v>9998</v>
      </c>
      <c r="Z22" s="57" t="str">
        <f>"http://40.10.22.156:"&amp;VLOOKUP(L22,'WAS Instance'!$M$7:$T$98,6,0)&amp;"/console"</f>
        <v>http://40.10.22.156:14121/console</v>
      </c>
      <c r="AA22" s="57"/>
      <c r="AB22" s="170"/>
      <c r="AC22" s="162" t="str">
        <f t="shared" si="14"/>
        <v>/web/jws3/domains/P-PQ11-O/P-PQ11-O-F11</v>
      </c>
      <c r="AD22" s="57" t="str">
        <f t="shared" ref="AD22:AD35" si="56">CONCATENATE("/",LOWER(B22),"/",LOWER(LEFT(G22,4)),"/webApp")</f>
        <v>/pq1/pq11/webApp</v>
      </c>
      <c r="AE22" s="57" t="str">
        <f t="shared" si="13"/>
        <v>/log/jws3/P-PQ11-O/P-PQ11-O-F11</v>
      </c>
      <c r="AF22" s="157" t="s">
        <v>86</v>
      </c>
      <c r="AG22" s="13" t="s">
        <v>87</v>
      </c>
      <c r="AH22" s="13">
        <v>9998</v>
      </c>
      <c r="AI22" s="160" t="s">
        <v>419</v>
      </c>
      <c r="AJ22" s="57"/>
      <c r="AK22" s="209" t="s">
        <v>699</v>
      </c>
    </row>
    <row r="23" spans="1:37" s="51" customFormat="1" ht="16.5" customHeight="1" x14ac:dyDescent="0.3">
      <c r="A23" s="8" t="s">
        <v>12</v>
      </c>
      <c r="B23" s="8" t="s">
        <v>236</v>
      </c>
      <c r="C23" s="8">
        <v>1</v>
      </c>
      <c r="D23" s="52" t="s">
        <v>285</v>
      </c>
      <c r="E23" s="52" t="str">
        <f>CONCATENATE(A23,"ico","ap0",C23)</f>
        <v>picoap01</v>
      </c>
      <c r="F23" s="9" t="s">
        <v>210</v>
      </c>
      <c r="G23" s="33" t="str">
        <f>VLOOKUP(F23,'Domain별 코드 체계'!$B$5:$J$29,7,0)</f>
        <v>PQ11</v>
      </c>
      <c r="H23" s="126" t="s">
        <v>5</v>
      </c>
      <c r="I23" s="10" t="str">
        <f t="shared" si="46"/>
        <v>P-PQ11-O</v>
      </c>
      <c r="J23" s="131" t="s">
        <v>88</v>
      </c>
      <c r="K23" s="157">
        <v>2</v>
      </c>
      <c r="L23" s="199" t="str">
        <f t="shared" si="47"/>
        <v>P-PQ11-O-F12</v>
      </c>
      <c r="M23" s="199" t="str">
        <f t="shared" si="48"/>
        <v>P-PQ11-O-A11</v>
      </c>
      <c r="N23" s="199">
        <f t="shared" si="49"/>
        <v>2048</v>
      </c>
      <c r="O23" s="199">
        <f t="shared" si="50"/>
        <v>768</v>
      </c>
      <c r="P23" s="199">
        <f t="shared" si="51"/>
        <v>768</v>
      </c>
      <c r="Q23" s="199">
        <f t="shared" si="52"/>
        <v>512</v>
      </c>
      <c r="R23" s="199">
        <f t="shared" si="53"/>
        <v>512</v>
      </c>
      <c r="S23" s="198" t="s">
        <v>80</v>
      </c>
      <c r="T23" s="199" t="str">
        <f t="shared" si="12"/>
        <v>/was/jboss7/domains/P-PQ11-O/P-PQ11-O-F12</v>
      </c>
      <c r="U23" s="199" t="str">
        <f t="shared" si="55"/>
        <v>/pq1/pq11/wasApp</v>
      </c>
      <c r="V23" s="199" t="str">
        <f t="shared" si="54"/>
        <v>/log/jboss7/P-PQ11-O/P-PQ11-O-F12</v>
      </c>
      <c r="W23" s="198" t="s">
        <v>86</v>
      </c>
      <c r="X23" s="200" t="s">
        <v>87</v>
      </c>
      <c r="Y23" s="200">
        <v>9998</v>
      </c>
      <c r="Z23" s="199" t="str">
        <f>"http://40.10.22.156:"&amp;VLOOKUP(L23,'WAS Instance'!$M$7:$T$98,6,0)&amp;"/console"</f>
        <v>http://40.10.22.156:14122/console</v>
      </c>
      <c r="AA23" s="57"/>
      <c r="AB23" s="170"/>
      <c r="AC23" s="162" t="str">
        <f t="shared" si="14"/>
        <v>/web/jws3/domains/P-PQ11-O/P-PQ11-O-F12</v>
      </c>
      <c r="AD23" s="57" t="str">
        <f t="shared" si="56"/>
        <v>/pq1/pq11/webApp</v>
      </c>
      <c r="AE23" s="57" t="str">
        <f t="shared" si="13"/>
        <v>/log/jws3/P-PQ11-O/P-PQ11-O-F12</v>
      </c>
      <c r="AF23" s="157" t="s">
        <v>86</v>
      </c>
      <c r="AG23" s="13" t="s">
        <v>87</v>
      </c>
      <c r="AH23" s="13">
        <v>9998</v>
      </c>
      <c r="AI23" s="160" t="s">
        <v>419</v>
      </c>
      <c r="AJ23" s="57"/>
      <c r="AK23" s="209" t="s">
        <v>701</v>
      </c>
    </row>
    <row r="24" spans="1:37" s="51" customFormat="1" ht="16.5" customHeight="1" x14ac:dyDescent="0.3">
      <c r="A24" s="8" t="s">
        <v>12</v>
      </c>
      <c r="B24" s="8" t="s">
        <v>236</v>
      </c>
      <c r="C24" s="8">
        <v>1</v>
      </c>
      <c r="D24" s="52" t="s">
        <v>285</v>
      </c>
      <c r="E24" s="52" t="str">
        <f t="shared" ref="E24:E36" si="57">CONCATENATE(A24,"ico","ap0",C24)</f>
        <v>picoap01</v>
      </c>
      <c r="F24" s="9" t="s">
        <v>210</v>
      </c>
      <c r="G24" s="33" t="str">
        <f>VLOOKUP(F24,'Domain별 코드 체계'!$B$5:$J$29,7,0)</f>
        <v>PQ11</v>
      </c>
      <c r="H24" s="126" t="s">
        <v>5</v>
      </c>
      <c r="I24" s="10" t="str">
        <f t="shared" si="46"/>
        <v>P-PQ11-O</v>
      </c>
      <c r="J24" s="131" t="s">
        <v>308</v>
      </c>
      <c r="K24" s="157">
        <v>1</v>
      </c>
      <c r="L24" s="57" t="str">
        <f t="shared" si="47"/>
        <v>P-PQ11-O-S11</v>
      </c>
      <c r="M24" s="57" t="str">
        <f t="shared" si="48"/>
        <v>P-PQ11-O-A11</v>
      </c>
      <c r="N24" s="57">
        <f t="shared" si="49"/>
        <v>1024</v>
      </c>
      <c r="O24" s="57">
        <f t="shared" si="50"/>
        <v>256</v>
      </c>
      <c r="P24" s="57">
        <f t="shared" si="51"/>
        <v>256</v>
      </c>
      <c r="Q24" s="57">
        <f t="shared" si="52"/>
        <v>256</v>
      </c>
      <c r="R24" s="57">
        <f t="shared" si="53"/>
        <v>256</v>
      </c>
      <c r="S24" s="157" t="s">
        <v>80</v>
      </c>
      <c r="T24" s="57" t="str">
        <f t="shared" si="12"/>
        <v>/was/jboss7/domains/P-PQ11-O/P-PQ11-O-S11</v>
      </c>
      <c r="U24" s="57" t="str">
        <f t="shared" si="55"/>
        <v>/pq1/pq11/wasApp</v>
      </c>
      <c r="V24" s="57" t="str">
        <f t="shared" si="54"/>
        <v>/log/jboss7/P-PQ11-O/P-PQ11-O-S11</v>
      </c>
      <c r="W24" s="157" t="s">
        <v>86</v>
      </c>
      <c r="X24" s="13" t="s">
        <v>87</v>
      </c>
      <c r="Y24" s="13">
        <v>9998</v>
      </c>
      <c r="Z24" s="57" t="str">
        <f>"http://40.10.22.156:"&amp;VLOOKUP(L24,'WAS Instance'!$M$7:$T$98,6,0)&amp;"/console"</f>
        <v>http://40.10.22.156:14129/console</v>
      </c>
      <c r="AA24" s="57"/>
      <c r="AB24" s="170"/>
      <c r="AC24" s="162" t="str">
        <f t="shared" si="14"/>
        <v>/web/jws3/domains/P-PQ11-O/P-PQ11-O-S11</v>
      </c>
      <c r="AD24" s="57" t="str">
        <f t="shared" si="56"/>
        <v>/pq1/pq11/webApp</v>
      </c>
      <c r="AE24" s="57" t="str">
        <f t="shared" si="13"/>
        <v>/log/jws3/P-PQ11-O/P-PQ11-O-S11</v>
      </c>
      <c r="AF24" s="157" t="s">
        <v>86</v>
      </c>
      <c r="AG24" s="13" t="s">
        <v>87</v>
      </c>
      <c r="AH24" s="13">
        <v>9998</v>
      </c>
      <c r="AI24" s="160" t="s">
        <v>419</v>
      </c>
      <c r="AJ24" s="57"/>
      <c r="AK24" s="209" t="s">
        <v>699</v>
      </c>
    </row>
    <row r="25" spans="1:37" s="51" customFormat="1" ht="16.5" customHeight="1" x14ac:dyDescent="0.3">
      <c r="A25" s="8" t="s">
        <v>12</v>
      </c>
      <c r="B25" s="8" t="s">
        <v>223</v>
      </c>
      <c r="C25" s="8">
        <v>1</v>
      </c>
      <c r="D25" s="52" t="s">
        <v>285</v>
      </c>
      <c r="E25" s="52" t="str">
        <f t="shared" si="57"/>
        <v>picoap01</v>
      </c>
      <c r="F25" s="9" t="s">
        <v>194</v>
      </c>
      <c r="G25" s="33" t="str">
        <f>VLOOKUP(F25,'Domain별 코드 체계'!$B$5:$J$29,7,0)</f>
        <v>SP11</v>
      </c>
      <c r="H25" s="126" t="s">
        <v>5</v>
      </c>
      <c r="I25" s="10" t="str">
        <f t="shared" si="46"/>
        <v>P-SP11-O</v>
      </c>
      <c r="J25" s="131" t="s">
        <v>88</v>
      </c>
      <c r="K25" s="157">
        <v>1</v>
      </c>
      <c r="L25" s="57" t="str">
        <f t="shared" si="47"/>
        <v>P-SP11-O-F11</v>
      </c>
      <c r="M25" s="57" t="str">
        <f t="shared" si="48"/>
        <v>P-SP11-O-A11</v>
      </c>
      <c r="N25" s="57">
        <f t="shared" si="49"/>
        <v>2048</v>
      </c>
      <c r="O25" s="57">
        <f t="shared" si="50"/>
        <v>768</v>
      </c>
      <c r="P25" s="57">
        <f t="shared" si="51"/>
        <v>768</v>
      </c>
      <c r="Q25" s="57">
        <f t="shared" si="52"/>
        <v>512</v>
      </c>
      <c r="R25" s="57">
        <f t="shared" si="53"/>
        <v>512</v>
      </c>
      <c r="S25" s="157" t="s">
        <v>80</v>
      </c>
      <c r="T25" s="57" t="str">
        <f t="shared" si="12"/>
        <v>/was/jboss7/domains/P-SP11-O/P-SP11-O-F11</v>
      </c>
      <c r="U25" s="57" t="str">
        <f t="shared" si="55"/>
        <v>/sp1/sp11/wasApp</v>
      </c>
      <c r="V25" s="57" t="str">
        <f t="shared" si="54"/>
        <v>/log/jboss7/P-SP11-O/P-SP11-O-F11</v>
      </c>
      <c r="W25" s="157" t="s">
        <v>86</v>
      </c>
      <c r="X25" s="13" t="s">
        <v>87</v>
      </c>
      <c r="Y25" s="13">
        <v>9998</v>
      </c>
      <c r="Z25" s="57" t="str">
        <f>"http://40.10.22.156:"&amp;VLOOKUP(L25,'WAS Instance'!$M$7:$T$98,6,0)&amp;"/console"</f>
        <v>http://40.10.22.156:14021/console</v>
      </c>
      <c r="AA25" s="57"/>
      <c r="AB25" s="170"/>
      <c r="AC25" s="162" t="str">
        <f t="shared" si="14"/>
        <v>/web/jws3/domains/P-SP11-O/P-SP11-O-F11</v>
      </c>
      <c r="AD25" s="57" t="str">
        <f t="shared" si="56"/>
        <v>/sp1/sp11/webApp</v>
      </c>
      <c r="AE25" s="57" t="str">
        <f t="shared" si="13"/>
        <v>/log/jws3/P-SP11-O/P-SP11-O-F11</v>
      </c>
      <c r="AF25" s="157" t="s">
        <v>86</v>
      </c>
      <c r="AG25" s="13" t="s">
        <v>87</v>
      </c>
      <c r="AH25" s="13">
        <v>9998</v>
      </c>
      <c r="AI25" s="160" t="s">
        <v>419</v>
      </c>
      <c r="AJ25" s="57"/>
      <c r="AK25" s="209" t="s">
        <v>702</v>
      </c>
    </row>
    <row r="26" spans="1:37" s="51" customFormat="1" ht="16.5" customHeight="1" x14ac:dyDescent="0.3">
      <c r="A26" s="8" t="s">
        <v>12</v>
      </c>
      <c r="B26" s="8" t="s">
        <v>223</v>
      </c>
      <c r="C26" s="8">
        <v>1</v>
      </c>
      <c r="D26" s="52" t="s">
        <v>285</v>
      </c>
      <c r="E26" s="52" t="str">
        <f t="shared" si="57"/>
        <v>picoap01</v>
      </c>
      <c r="F26" s="9" t="s">
        <v>194</v>
      </c>
      <c r="G26" s="33" t="str">
        <f>VLOOKUP(F26,'Domain별 코드 체계'!$B$5:$J$29,7,0)</f>
        <v>SP11</v>
      </c>
      <c r="H26" s="126" t="s">
        <v>5</v>
      </c>
      <c r="I26" s="10" t="str">
        <f t="shared" si="46"/>
        <v>P-SP11-O</v>
      </c>
      <c r="J26" s="131" t="s">
        <v>308</v>
      </c>
      <c r="K26" s="157">
        <v>1</v>
      </c>
      <c r="L26" s="57" t="str">
        <f t="shared" si="47"/>
        <v>P-SP11-O-S11</v>
      </c>
      <c r="M26" s="57" t="str">
        <f t="shared" si="48"/>
        <v>P-SP11-O-A11</v>
      </c>
      <c r="N26" s="57">
        <f t="shared" si="49"/>
        <v>1024</v>
      </c>
      <c r="O26" s="57">
        <f t="shared" si="50"/>
        <v>256</v>
      </c>
      <c r="P26" s="57">
        <f t="shared" si="51"/>
        <v>256</v>
      </c>
      <c r="Q26" s="57">
        <f t="shared" si="52"/>
        <v>256</v>
      </c>
      <c r="R26" s="57">
        <f t="shared" si="53"/>
        <v>256</v>
      </c>
      <c r="S26" s="157" t="s">
        <v>80</v>
      </c>
      <c r="T26" s="57" t="str">
        <f t="shared" si="12"/>
        <v>/was/jboss7/domains/P-SP11-O/P-SP11-O-S11</v>
      </c>
      <c r="U26" s="57" t="str">
        <f t="shared" si="55"/>
        <v>/sp1/sp11/wasApp</v>
      </c>
      <c r="V26" s="57" t="str">
        <f t="shared" si="54"/>
        <v>/log/jboss7/P-SP11-O/P-SP11-O-S11</v>
      </c>
      <c r="W26" s="157" t="s">
        <v>86</v>
      </c>
      <c r="X26" s="13" t="s">
        <v>87</v>
      </c>
      <c r="Y26" s="13">
        <v>9998</v>
      </c>
      <c r="Z26" s="57" t="str">
        <f>"http://40.10.22.156:"&amp;VLOOKUP(L26,'WAS Instance'!$M$7:$T$98,6,0)&amp;"/console"</f>
        <v>http://40.10.22.156:14029/console</v>
      </c>
      <c r="AA26" s="57"/>
      <c r="AB26" s="170"/>
      <c r="AC26" s="162" t="str">
        <f t="shared" si="14"/>
        <v>/web/jws3/domains/P-SP11-O/P-SP11-O-S11</v>
      </c>
      <c r="AD26" s="57" t="str">
        <f t="shared" si="56"/>
        <v>/sp1/sp11/webApp</v>
      </c>
      <c r="AE26" s="57" t="str">
        <f t="shared" si="13"/>
        <v>/log/jws3/P-SP11-O/P-SP11-O-S11</v>
      </c>
      <c r="AF26" s="157" t="s">
        <v>86</v>
      </c>
      <c r="AG26" s="13" t="s">
        <v>87</v>
      </c>
      <c r="AH26" s="13">
        <v>9998</v>
      </c>
      <c r="AI26" s="160" t="s">
        <v>419</v>
      </c>
      <c r="AJ26" s="57"/>
      <c r="AK26" s="209" t="s">
        <v>702</v>
      </c>
    </row>
    <row r="27" spans="1:37" s="51" customFormat="1" ht="16.5" customHeight="1" x14ac:dyDescent="0.3">
      <c r="A27" s="8" t="s">
        <v>12</v>
      </c>
      <c r="B27" s="157" t="s">
        <v>227</v>
      </c>
      <c r="C27" s="8">
        <v>1</v>
      </c>
      <c r="D27" s="52" t="s">
        <v>285</v>
      </c>
      <c r="E27" s="52" t="str">
        <f t="shared" si="57"/>
        <v>picoap01</v>
      </c>
      <c r="F27" s="9" t="s">
        <v>191</v>
      </c>
      <c r="G27" s="33" t="str">
        <f>VLOOKUP(F27,'Domain별 코드 체계'!$B$5:$J$29,7,0)</f>
        <v>GE21</v>
      </c>
      <c r="H27" s="127" t="s">
        <v>318</v>
      </c>
      <c r="I27" s="10" t="str">
        <f t="shared" si="46"/>
        <v>P-GE21-O</v>
      </c>
      <c r="J27" s="131" t="s">
        <v>319</v>
      </c>
      <c r="K27" s="157">
        <v>1</v>
      </c>
      <c r="L27" s="57" t="str">
        <f t="shared" si="47"/>
        <v>P-GE21-O-F11</v>
      </c>
      <c r="M27" s="57" t="str">
        <f t="shared" si="48"/>
        <v>P-GE21-O-A11</v>
      </c>
      <c r="N27" s="57">
        <f t="shared" si="49"/>
        <v>2048</v>
      </c>
      <c r="O27" s="57">
        <f t="shared" si="50"/>
        <v>768</v>
      </c>
      <c r="P27" s="57">
        <f t="shared" si="51"/>
        <v>768</v>
      </c>
      <c r="Q27" s="57">
        <f t="shared" si="52"/>
        <v>512</v>
      </c>
      <c r="R27" s="57">
        <f t="shared" si="53"/>
        <v>512</v>
      </c>
      <c r="S27" s="157" t="s">
        <v>80</v>
      </c>
      <c r="T27" s="57" t="str">
        <f t="shared" si="12"/>
        <v>/was/jboss7/domains/P-GE21-O/P-GE21-O-F11</v>
      </c>
      <c r="U27" s="57" t="str">
        <f t="shared" si="55"/>
        <v>/ge2/ge21/wasApp</v>
      </c>
      <c r="V27" s="57" t="str">
        <f t="shared" si="54"/>
        <v>/log/jboss7/P-GE21-O/P-GE21-O-F11</v>
      </c>
      <c r="W27" s="157" t="s">
        <v>86</v>
      </c>
      <c r="X27" s="13" t="s">
        <v>87</v>
      </c>
      <c r="Y27" s="13">
        <v>9998</v>
      </c>
      <c r="Z27" s="57" t="str">
        <f>"http://40.10.22.156:"&amp;VLOOKUP(L27,'WAS Instance'!$M$7:$T$98,6,0)&amp;"/console"</f>
        <v>http://40.10.22.156:14321/console</v>
      </c>
      <c r="AA27" s="57"/>
      <c r="AB27" s="170"/>
      <c r="AC27" s="162" t="str">
        <f t="shared" si="14"/>
        <v>/web/jws3/domains/P-GE21-O/P-GE21-O-F11</v>
      </c>
      <c r="AD27" s="57" t="str">
        <f t="shared" si="56"/>
        <v>/ge2/ge21/webApp</v>
      </c>
      <c r="AE27" s="57" t="str">
        <f t="shared" si="13"/>
        <v>/log/jws3/P-GE21-O/P-GE21-O-F11</v>
      </c>
      <c r="AF27" s="157" t="s">
        <v>86</v>
      </c>
      <c r="AG27" s="13" t="s">
        <v>87</v>
      </c>
      <c r="AH27" s="13">
        <v>9998</v>
      </c>
      <c r="AI27" s="160" t="s">
        <v>419</v>
      </c>
      <c r="AJ27" s="57"/>
      <c r="AK27" s="209" t="s">
        <v>702</v>
      </c>
    </row>
    <row r="28" spans="1:37" s="51" customFormat="1" ht="16.5" customHeight="1" x14ac:dyDescent="0.3">
      <c r="A28" s="8" t="s">
        <v>12</v>
      </c>
      <c r="B28" s="157" t="s">
        <v>227</v>
      </c>
      <c r="C28" s="8">
        <v>1</v>
      </c>
      <c r="D28" s="52" t="s">
        <v>285</v>
      </c>
      <c r="E28" s="52" t="str">
        <f t="shared" si="57"/>
        <v>picoap01</v>
      </c>
      <c r="F28" s="9" t="s">
        <v>191</v>
      </c>
      <c r="G28" s="33" t="str">
        <f>VLOOKUP(F28,'Domain별 코드 체계'!$B$5:$J$29,7,0)</f>
        <v>GE21</v>
      </c>
      <c r="H28" s="127" t="s">
        <v>318</v>
      </c>
      <c r="I28" s="10" t="str">
        <f t="shared" si="46"/>
        <v>P-GE21-O</v>
      </c>
      <c r="J28" s="131" t="s">
        <v>319</v>
      </c>
      <c r="K28" s="157">
        <v>2</v>
      </c>
      <c r="L28" s="199" t="str">
        <f t="shared" si="47"/>
        <v>P-GE21-O-F12</v>
      </c>
      <c r="M28" s="199" t="str">
        <f t="shared" si="48"/>
        <v>P-GE21-O-A11</v>
      </c>
      <c r="N28" s="199">
        <f t="shared" si="49"/>
        <v>2048</v>
      </c>
      <c r="O28" s="199">
        <f t="shared" si="50"/>
        <v>768</v>
      </c>
      <c r="P28" s="199">
        <f t="shared" si="51"/>
        <v>768</v>
      </c>
      <c r="Q28" s="199">
        <f t="shared" si="52"/>
        <v>512</v>
      </c>
      <c r="R28" s="199">
        <f t="shared" si="53"/>
        <v>512</v>
      </c>
      <c r="S28" s="198" t="s">
        <v>80</v>
      </c>
      <c r="T28" s="199" t="str">
        <f t="shared" si="12"/>
        <v>/was/jboss7/domains/P-GE21-O/P-GE21-O-F12</v>
      </c>
      <c r="U28" s="199" t="str">
        <f t="shared" si="55"/>
        <v>/ge2/ge21/wasApp</v>
      </c>
      <c r="V28" s="199" t="str">
        <f t="shared" si="54"/>
        <v>/log/jboss7/P-GE21-O/P-GE21-O-F12</v>
      </c>
      <c r="W28" s="198" t="s">
        <v>86</v>
      </c>
      <c r="X28" s="200" t="s">
        <v>87</v>
      </c>
      <c r="Y28" s="200">
        <v>9998</v>
      </c>
      <c r="Z28" s="199" t="str">
        <f>"http://40.10.22.156:"&amp;VLOOKUP(L28,'WAS Instance'!$M$7:$T$98,6,0)&amp;"/console"</f>
        <v>http://40.10.22.156:14322/console</v>
      </c>
      <c r="AA28" s="57"/>
      <c r="AB28" s="170"/>
      <c r="AC28" s="162" t="str">
        <f t="shared" si="14"/>
        <v>/web/jws3/domains/P-GE21-O/P-GE21-O-F12</v>
      </c>
      <c r="AD28" s="57" t="str">
        <f t="shared" si="56"/>
        <v>/ge2/ge21/webApp</v>
      </c>
      <c r="AE28" s="57" t="str">
        <f t="shared" si="13"/>
        <v>/log/jws3/P-GE21-O/P-GE21-O-F12</v>
      </c>
      <c r="AF28" s="157" t="s">
        <v>86</v>
      </c>
      <c r="AG28" s="13" t="s">
        <v>87</v>
      </c>
      <c r="AH28" s="13">
        <v>9998</v>
      </c>
      <c r="AI28" s="160" t="s">
        <v>419</v>
      </c>
      <c r="AJ28" s="57"/>
      <c r="AK28" s="209" t="s">
        <v>702</v>
      </c>
    </row>
    <row r="29" spans="1:37" s="51" customFormat="1" ht="16.5" customHeight="1" x14ac:dyDescent="0.3">
      <c r="A29" s="8" t="s">
        <v>12</v>
      </c>
      <c r="B29" s="157" t="s">
        <v>227</v>
      </c>
      <c r="C29" s="8">
        <v>1</v>
      </c>
      <c r="D29" s="52" t="s">
        <v>285</v>
      </c>
      <c r="E29" s="52" t="str">
        <f t="shared" si="57"/>
        <v>picoap01</v>
      </c>
      <c r="F29" s="9" t="s">
        <v>191</v>
      </c>
      <c r="G29" s="33" t="str">
        <f>VLOOKUP(F29,'Domain별 코드 체계'!$B$5:$J$29,7,0)</f>
        <v>GE21</v>
      </c>
      <c r="H29" s="127" t="s">
        <v>318</v>
      </c>
      <c r="I29" s="10" t="str">
        <f t="shared" si="46"/>
        <v>P-GE21-O</v>
      </c>
      <c r="J29" s="131" t="s">
        <v>308</v>
      </c>
      <c r="K29" s="157">
        <v>1</v>
      </c>
      <c r="L29" s="57" t="str">
        <f t="shared" si="47"/>
        <v>P-GE21-O-S11</v>
      </c>
      <c r="M29" s="57" t="str">
        <f t="shared" si="48"/>
        <v>P-GE21-O-A11</v>
      </c>
      <c r="N29" s="57">
        <f t="shared" si="49"/>
        <v>1024</v>
      </c>
      <c r="O29" s="57">
        <f t="shared" si="50"/>
        <v>256</v>
      </c>
      <c r="P29" s="57">
        <f t="shared" si="51"/>
        <v>256</v>
      </c>
      <c r="Q29" s="57">
        <f t="shared" si="52"/>
        <v>256</v>
      </c>
      <c r="R29" s="57">
        <f t="shared" si="53"/>
        <v>256</v>
      </c>
      <c r="S29" s="157" t="s">
        <v>80</v>
      </c>
      <c r="T29" s="57" t="str">
        <f t="shared" si="12"/>
        <v>/was/jboss7/domains/P-GE21-O/P-GE21-O-S11</v>
      </c>
      <c r="U29" s="57" t="str">
        <f t="shared" si="55"/>
        <v>/ge2/ge21/wasApp</v>
      </c>
      <c r="V29" s="57" t="str">
        <f t="shared" si="54"/>
        <v>/log/jboss7/P-GE21-O/P-GE21-O-S11</v>
      </c>
      <c r="W29" s="157" t="s">
        <v>86</v>
      </c>
      <c r="X29" s="13" t="s">
        <v>87</v>
      </c>
      <c r="Y29" s="13">
        <v>9998</v>
      </c>
      <c r="Z29" s="57" t="str">
        <f>"http://40.10.22.156:"&amp;VLOOKUP(L29,'WAS Instance'!$M$7:$T$98,6,0)&amp;"/console"</f>
        <v>http://40.10.22.156:14329/console</v>
      </c>
      <c r="AA29" s="57"/>
      <c r="AB29" s="170"/>
      <c r="AC29" s="162" t="str">
        <f t="shared" si="14"/>
        <v>/web/jws3/domains/P-GE21-O/P-GE21-O-S11</v>
      </c>
      <c r="AD29" s="57" t="str">
        <f t="shared" si="56"/>
        <v>/ge2/ge21/webApp</v>
      </c>
      <c r="AE29" s="57" t="str">
        <f t="shared" si="13"/>
        <v>/log/jws3/P-GE21-O/P-GE21-O-S11</v>
      </c>
      <c r="AF29" s="157" t="s">
        <v>86</v>
      </c>
      <c r="AG29" s="13" t="s">
        <v>87</v>
      </c>
      <c r="AH29" s="13">
        <v>9998</v>
      </c>
      <c r="AI29" s="160" t="s">
        <v>419</v>
      </c>
      <c r="AJ29" s="57"/>
      <c r="AK29" s="209" t="s">
        <v>702</v>
      </c>
    </row>
    <row r="30" spans="1:37" s="51" customFormat="1" ht="16.5" customHeight="1" x14ac:dyDescent="0.3">
      <c r="A30" s="8" t="s">
        <v>12</v>
      </c>
      <c r="B30" s="157" t="s">
        <v>229</v>
      </c>
      <c r="C30" s="8">
        <v>1</v>
      </c>
      <c r="D30" s="52" t="s">
        <v>285</v>
      </c>
      <c r="E30" s="52" t="str">
        <f t="shared" si="57"/>
        <v>picoap01</v>
      </c>
      <c r="F30" s="9" t="s">
        <v>192</v>
      </c>
      <c r="G30" s="33" t="str">
        <f>VLOOKUP(F30,'Domain별 코드 체계'!$B$5:$J$29,7,0)</f>
        <v>MS71</v>
      </c>
      <c r="H30" s="126" t="s">
        <v>5</v>
      </c>
      <c r="I30" s="10" t="str">
        <f t="shared" si="46"/>
        <v>P-MS71-O</v>
      </c>
      <c r="J30" s="131" t="s">
        <v>88</v>
      </c>
      <c r="K30" s="157">
        <v>1</v>
      </c>
      <c r="L30" s="57" t="str">
        <f t="shared" si="47"/>
        <v>P-MS71-O-F11</v>
      </c>
      <c r="M30" s="57" t="str">
        <f t="shared" si="48"/>
        <v>P-MS71-O-A11</v>
      </c>
      <c r="N30" s="57">
        <f t="shared" si="49"/>
        <v>2048</v>
      </c>
      <c r="O30" s="57">
        <f t="shared" si="50"/>
        <v>768</v>
      </c>
      <c r="P30" s="57">
        <f t="shared" si="51"/>
        <v>768</v>
      </c>
      <c r="Q30" s="57">
        <f t="shared" si="52"/>
        <v>512</v>
      </c>
      <c r="R30" s="57">
        <f t="shared" si="53"/>
        <v>512</v>
      </c>
      <c r="S30" s="157" t="s">
        <v>80</v>
      </c>
      <c r="T30" s="57" t="str">
        <f t="shared" si="12"/>
        <v>/was/jboss7/domains/P-MS71-O/P-MS71-O-F11</v>
      </c>
      <c r="U30" s="57" t="str">
        <f t="shared" si="55"/>
        <v>/ms7/ms71/wasApp</v>
      </c>
      <c r="V30" s="57" t="str">
        <f t="shared" si="54"/>
        <v>/log/jboss7/P-MS71-O/P-MS71-O-F11</v>
      </c>
      <c r="W30" s="157" t="s">
        <v>86</v>
      </c>
      <c r="X30" s="13" t="s">
        <v>87</v>
      </c>
      <c r="Y30" s="13">
        <v>9998</v>
      </c>
      <c r="Z30" s="57" t="str">
        <f>"http://40.10.22.156:"&amp;VLOOKUP(L30,'WAS Instance'!$M$7:$T$98,6,0)&amp;"/console"</f>
        <v>http://40.10.22.156:14421/console</v>
      </c>
      <c r="AA30" s="57"/>
      <c r="AB30" s="170"/>
      <c r="AC30" s="162" t="str">
        <f t="shared" si="14"/>
        <v>/web/jws3/domains/P-MS71-O/P-MS71-O-F11</v>
      </c>
      <c r="AD30" s="57" t="str">
        <f t="shared" si="56"/>
        <v>/ms7/ms71/webApp</v>
      </c>
      <c r="AE30" s="57" t="str">
        <f t="shared" si="13"/>
        <v>/log/jws3/P-MS71-O/P-MS71-O-F11</v>
      </c>
      <c r="AF30" s="157" t="s">
        <v>86</v>
      </c>
      <c r="AG30" s="13" t="s">
        <v>87</v>
      </c>
      <c r="AH30" s="13">
        <v>9998</v>
      </c>
      <c r="AI30" s="160" t="s">
        <v>419</v>
      </c>
      <c r="AJ30" s="57"/>
      <c r="AK30" s="209" t="s">
        <v>699</v>
      </c>
    </row>
    <row r="31" spans="1:37" s="51" customFormat="1" ht="16.5" customHeight="1" x14ac:dyDescent="0.3">
      <c r="A31" s="8" t="s">
        <v>12</v>
      </c>
      <c r="B31" s="157" t="s">
        <v>229</v>
      </c>
      <c r="C31" s="8">
        <v>1</v>
      </c>
      <c r="D31" s="52" t="s">
        <v>285</v>
      </c>
      <c r="E31" s="52" t="str">
        <f t="shared" si="57"/>
        <v>picoap01</v>
      </c>
      <c r="F31" s="9" t="s">
        <v>192</v>
      </c>
      <c r="G31" s="33" t="str">
        <f>VLOOKUP(F31,'Domain별 코드 체계'!$B$5:$J$29,7,0)</f>
        <v>MS71</v>
      </c>
      <c r="H31" s="126" t="s">
        <v>5</v>
      </c>
      <c r="I31" s="10" t="str">
        <f t="shared" si="46"/>
        <v>P-MS71-O</v>
      </c>
      <c r="J31" s="131" t="s">
        <v>88</v>
      </c>
      <c r="K31" s="157">
        <v>2</v>
      </c>
      <c r="L31" s="199" t="str">
        <f t="shared" si="47"/>
        <v>P-MS71-O-F12</v>
      </c>
      <c r="M31" s="199" t="str">
        <f t="shared" si="48"/>
        <v>P-MS71-O-A11</v>
      </c>
      <c r="N31" s="199">
        <f t="shared" si="49"/>
        <v>2048</v>
      </c>
      <c r="O31" s="199">
        <f t="shared" si="50"/>
        <v>768</v>
      </c>
      <c r="P31" s="199">
        <f t="shared" si="51"/>
        <v>768</v>
      </c>
      <c r="Q31" s="199">
        <f t="shared" si="52"/>
        <v>512</v>
      </c>
      <c r="R31" s="199">
        <f t="shared" si="53"/>
        <v>512</v>
      </c>
      <c r="S31" s="198" t="s">
        <v>80</v>
      </c>
      <c r="T31" s="199" t="str">
        <f t="shared" si="12"/>
        <v>/was/jboss7/domains/P-MS71-O/P-MS71-O-F12</v>
      </c>
      <c r="U31" s="199" t="str">
        <f>CONCATENATE("/",LOWER(B31),"/",LOWER(LEFT(G31,4)),"/wasApp")</f>
        <v>/ms7/ms71/wasApp</v>
      </c>
      <c r="V31" s="199" t="str">
        <f t="shared" si="54"/>
        <v>/log/jboss7/P-MS71-O/P-MS71-O-F12</v>
      </c>
      <c r="W31" s="198" t="s">
        <v>86</v>
      </c>
      <c r="X31" s="200" t="s">
        <v>87</v>
      </c>
      <c r="Y31" s="200">
        <v>9998</v>
      </c>
      <c r="Z31" s="199" t="str">
        <f>"http://40.10.22.156:"&amp;VLOOKUP(L31,'WAS Instance'!$M$7:$T$98,6,0)&amp;"/console"</f>
        <v>http://40.10.22.156:14422/console</v>
      </c>
      <c r="AA31" s="57"/>
      <c r="AB31" s="170"/>
      <c r="AC31" s="162" t="str">
        <f t="shared" si="14"/>
        <v>/web/jws3/domains/P-MS71-O/P-MS71-O-F12</v>
      </c>
      <c r="AD31" s="57" t="str">
        <f t="shared" si="56"/>
        <v>/ms7/ms71/webApp</v>
      </c>
      <c r="AE31" s="57" t="str">
        <f t="shared" si="13"/>
        <v>/log/jws3/P-MS71-O/P-MS71-O-F12</v>
      </c>
      <c r="AF31" s="157" t="s">
        <v>86</v>
      </c>
      <c r="AG31" s="13" t="s">
        <v>87</v>
      </c>
      <c r="AH31" s="13">
        <v>9998</v>
      </c>
      <c r="AI31" s="160" t="s">
        <v>419</v>
      </c>
      <c r="AJ31" s="57"/>
      <c r="AK31" s="209" t="s">
        <v>701</v>
      </c>
    </row>
    <row r="32" spans="1:37" s="51" customFormat="1" ht="16.5" customHeight="1" x14ac:dyDescent="0.3">
      <c r="A32" s="8" t="s">
        <v>12</v>
      </c>
      <c r="B32" s="157" t="s">
        <v>225</v>
      </c>
      <c r="C32" s="8">
        <v>1</v>
      </c>
      <c r="D32" s="52" t="s">
        <v>285</v>
      </c>
      <c r="E32" s="52" t="str">
        <f>CONCATENATE(A32,"ico","ap0",C32)</f>
        <v>picoap01</v>
      </c>
      <c r="F32" s="9" t="s">
        <v>212</v>
      </c>
      <c r="G32" s="33" t="str">
        <f>VLOOKUP(F32,'Domain별 코드 체계'!$B$5:$J$29,7,0)</f>
        <v>BIM1</v>
      </c>
      <c r="H32" s="127" t="s">
        <v>318</v>
      </c>
      <c r="I32" s="10" t="str">
        <f>CONCATENATE(UPPER(IF(A32="d","P",A32)),"-",G32,"-",H32)</f>
        <v>P-BIM1-O</v>
      </c>
      <c r="J32" s="131" t="s">
        <v>319</v>
      </c>
      <c r="K32" s="157">
        <v>1</v>
      </c>
      <c r="L32" s="57" t="str">
        <f>CONCATENATE(I32,"-",J32,C32,K32)</f>
        <v>P-BIM1-O-F11</v>
      </c>
      <c r="M32" s="57" t="str">
        <f>IF(J32="A","",CONCATENATE(I32,"-A11"))</f>
        <v>P-BIM1-O-A11</v>
      </c>
      <c r="N32" s="57">
        <f>IF(J32="A",512,IF(J32="F",2048,IF(J32="S",1024)))</f>
        <v>2048</v>
      </c>
      <c r="O32" s="57">
        <f>IF(J32="A","",IF(J32="F",(N32/16)*6,IF(J32="S",N32/4)))</f>
        <v>768</v>
      </c>
      <c r="P32" s="57">
        <f>O32</f>
        <v>768</v>
      </c>
      <c r="Q32" s="57">
        <f>IF(J32="A","",IF(J32="F",(N32/16)*4,IF(J32="S",N32/4)))</f>
        <v>512</v>
      </c>
      <c r="R32" s="57">
        <f>Q32</f>
        <v>512</v>
      </c>
      <c r="S32" s="157" t="s">
        <v>80</v>
      </c>
      <c r="T32" s="57" t="str">
        <f>CONCATENATE("/was/jboss7/domains/",I32,"/",L32)</f>
        <v>/was/jboss7/domains/P-BIM1-O/P-BIM1-O-F11</v>
      </c>
      <c r="U32" s="57" t="str">
        <f>CONCATENATE("/",LOWER(B32),"/",LOWER(LEFT(G32,4)),"/wasApp")</f>
        <v>/bim/bim1/wasApp</v>
      </c>
      <c r="V32" s="57" t="str">
        <f>CONCATENATE("/log/jboss7/",I32,"/",L32)</f>
        <v>/log/jboss7/P-BIM1-O/P-BIM1-O-F11</v>
      </c>
      <c r="W32" s="157" t="s">
        <v>86</v>
      </c>
      <c r="X32" s="13" t="s">
        <v>87</v>
      </c>
      <c r="Y32" s="13">
        <v>9998</v>
      </c>
      <c r="Z32" s="57" t="str">
        <f>"http://40.10.22.156:"&amp;VLOOKUP(L32,'WAS Instance'!$M$7:$T$98,6,0)&amp;"/console"</f>
        <v>http://40.10.22.156:15011/console</v>
      </c>
      <c r="AA32" s="57"/>
      <c r="AB32" s="170"/>
      <c r="AC32" s="162" t="str">
        <f>CONCATENATE("/web/jws3/domains/",I32,"/",L32)</f>
        <v>/web/jws3/domains/P-BIM1-O/P-BIM1-O-F11</v>
      </c>
      <c r="AD32" s="57" t="str">
        <f>CONCATENATE("/",LOWER(B32),"/",LOWER(LEFT(G32,4)),"/webApp")</f>
        <v>/bim/bim1/webApp</v>
      </c>
      <c r="AE32" s="57" t="str">
        <f>CONCATENATE("/log/jws3/",I32,"/",L32)</f>
        <v>/log/jws3/P-BIM1-O/P-BIM1-O-F11</v>
      </c>
      <c r="AF32" s="157" t="s">
        <v>86</v>
      </c>
      <c r="AG32" s="13" t="s">
        <v>87</v>
      </c>
      <c r="AH32" s="13">
        <v>9998</v>
      </c>
      <c r="AI32" s="160" t="s">
        <v>419</v>
      </c>
      <c r="AJ32" s="57"/>
      <c r="AK32" s="209" t="s">
        <v>702</v>
      </c>
    </row>
    <row r="33" spans="1:37" s="51" customFormat="1" ht="16.5" customHeight="1" x14ac:dyDescent="0.3">
      <c r="A33" s="8" t="s">
        <v>12</v>
      </c>
      <c r="B33" s="157" t="s">
        <v>225</v>
      </c>
      <c r="C33" s="8">
        <v>1</v>
      </c>
      <c r="D33" s="52" t="s">
        <v>285</v>
      </c>
      <c r="E33" s="52" t="str">
        <f>CONCATENATE(A33,"ico","ap0",C33)</f>
        <v>picoap01</v>
      </c>
      <c r="F33" s="9" t="s">
        <v>212</v>
      </c>
      <c r="G33" s="33" t="str">
        <f>VLOOKUP(F33,'Domain별 코드 체계'!$B$5:$J$29,7,0)</f>
        <v>BIM1</v>
      </c>
      <c r="H33" s="127" t="s">
        <v>318</v>
      </c>
      <c r="I33" s="10" t="str">
        <f>CONCATENATE(UPPER(IF(A33="d","P",A33)),"-",G33,"-",H33)</f>
        <v>P-BIM1-O</v>
      </c>
      <c r="J33" s="131" t="s">
        <v>319</v>
      </c>
      <c r="K33" s="157">
        <v>2</v>
      </c>
      <c r="L33" s="199" t="str">
        <f>CONCATENATE(I33,"-",J33,C33,K33)</f>
        <v>P-BIM1-O-F12</v>
      </c>
      <c r="M33" s="199" t="str">
        <f>IF(J33="A","",CONCATENATE(I33,"-A11"))</f>
        <v>P-BIM1-O-A11</v>
      </c>
      <c r="N33" s="199">
        <f>IF(J33="A",512,IF(J33="F",2048,IF(J33="S",1024)))</f>
        <v>2048</v>
      </c>
      <c r="O33" s="199">
        <f>IF(J33="A","",IF(J33="F",(N33/16)*6,IF(J33="S",N33/4)))</f>
        <v>768</v>
      </c>
      <c r="P33" s="199">
        <f>O33</f>
        <v>768</v>
      </c>
      <c r="Q33" s="199">
        <f>IF(J33="A","",IF(J33="F",(N33/16)*4,IF(J33="S",N33/4)))</f>
        <v>512</v>
      </c>
      <c r="R33" s="199">
        <f>Q33</f>
        <v>512</v>
      </c>
      <c r="S33" s="198" t="s">
        <v>80</v>
      </c>
      <c r="T33" s="199" t="str">
        <f>CONCATENATE("/was/jboss7/domains/",I33,"/",L33)</f>
        <v>/was/jboss7/domains/P-BIM1-O/P-BIM1-O-F12</v>
      </c>
      <c r="U33" s="199" t="str">
        <f>CONCATENATE("/",LOWER(B33),"/",LOWER(LEFT(G33,4)),"/wasApp")</f>
        <v>/bim/bim1/wasApp</v>
      </c>
      <c r="V33" s="199" t="str">
        <f>CONCATENATE("/log/jboss7/",I33,"/",L33)</f>
        <v>/log/jboss7/P-BIM1-O/P-BIM1-O-F12</v>
      </c>
      <c r="W33" s="198" t="s">
        <v>86</v>
      </c>
      <c r="X33" s="200" t="s">
        <v>87</v>
      </c>
      <c r="Y33" s="200">
        <v>9998</v>
      </c>
      <c r="Z33" s="199" t="str">
        <f>"http://40.10.22.156:"&amp;VLOOKUP(L33,'WAS Instance'!$M$7:$T$98,6,0)&amp;"/console"</f>
        <v>http://40.10.22.156:15012/console</v>
      </c>
      <c r="AA33" s="57"/>
      <c r="AB33" s="170"/>
      <c r="AC33" s="162" t="str">
        <f>CONCATENATE("/web/jws3/domains/",I33,"/",L33)</f>
        <v>/web/jws3/domains/P-BIM1-O/P-BIM1-O-F12</v>
      </c>
      <c r="AD33" s="57" t="str">
        <f>CONCATENATE("/",LOWER(B33),"/",LOWER(LEFT(G33,4)),"/webApp")</f>
        <v>/bim/bim1/webApp</v>
      </c>
      <c r="AE33" s="57" t="str">
        <f>CONCATENATE("/log/jws3/",I33,"/",L33)</f>
        <v>/log/jws3/P-BIM1-O/P-BIM1-O-F12</v>
      </c>
      <c r="AF33" s="157" t="s">
        <v>86</v>
      </c>
      <c r="AG33" s="13" t="s">
        <v>87</v>
      </c>
      <c r="AH33" s="13">
        <v>9998</v>
      </c>
      <c r="AI33" s="160" t="s">
        <v>419</v>
      </c>
      <c r="AJ33" s="57"/>
      <c r="AK33" s="209" t="s">
        <v>702</v>
      </c>
    </row>
    <row r="34" spans="1:37" s="51" customFormat="1" ht="16.5" customHeight="1" x14ac:dyDescent="0.3">
      <c r="A34" s="8" t="s">
        <v>12</v>
      </c>
      <c r="B34" s="157" t="s">
        <v>231</v>
      </c>
      <c r="C34" s="8">
        <v>1</v>
      </c>
      <c r="D34" s="52" t="s">
        <v>285</v>
      </c>
      <c r="E34" s="52" t="str">
        <f t="shared" si="57"/>
        <v>picoap01</v>
      </c>
      <c r="F34" s="9" t="s">
        <v>304</v>
      </c>
      <c r="G34" s="33" t="str">
        <f>VLOOKUP(F34,'Domain별 코드 체계'!$B$5:$J$29,7,0)</f>
        <v>WO11</v>
      </c>
      <c r="H34" s="127" t="s">
        <v>318</v>
      </c>
      <c r="I34" s="10" t="str">
        <f t="shared" si="46"/>
        <v>P-WO11-O</v>
      </c>
      <c r="J34" s="131" t="s">
        <v>319</v>
      </c>
      <c r="K34" s="157">
        <v>1</v>
      </c>
      <c r="L34" s="57" t="str">
        <f t="shared" si="47"/>
        <v>P-WO11-O-F11</v>
      </c>
      <c r="M34" s="57" t="str">
        <f t="shared" si="48"/>
        <v>P-WO11-O-A11</v>
      </c>
      <c r="N34" s="57">
        <f t="shared" si="49"/>
        <v>2048</v>
      </c>
      <c r="O34" s="57">
        <f t="shared" si="50"/>
        <v>768</v>
      </c>
      <c r="P34" s="57">
        <f t="shared" si="51"/>
        <v>768</v>
      </c>
      <c r="Q34" s="57">
        <f t="shared" si="52"/>
        <v>512</v>
      </c>
      <c r="R34" s="57">
        <f t="shared" si="53"/>
        <v>512</v>
      </c>
      <c r="S34" s="157" t="s">
        <v>80</v>
      </c>
      <c r="T34" s="57" t="str">
        <f t="shared" si="12"/>
        <v>/was/jboss7/domains/P-WO11-O/P-WO11-O-F11</v>
      </c>
      <c r="U34" s="57" t="str">
        <f t="shared" si="55"/>
        <v>/wo1/wo11/wasApp</v>
      </c>
      <c r="V34" s="57" t="str">
        <f t="shared" si="54"/>
        <v>/log/jboss7/P-WO11-O/P-WO11-O-F11</v>
      </c>
      <c r="W34" s="157" t="s">
        <v>86</v>
      </c>
      <c r="X34" s="13" t="s">
        <v>87</v>
      </c>
      <c r="Y34" s="13">
        <v>9998</v>
      </c>
      <c r="Z34" s="57" t="str">
        <f>"http://40.10.22.156:"&amp;VLOOKUP(L34,'WAS Instance'!$M$7:$T$98,6,0)&amp;"/console"</f>
        <v>http://40.10.22.156:15111/console</v>
      </c>
      <c r="AA34" s="57"/>
      <c r="AB34" s="170"/>
      <c r="AC34" s="162" t="str">
        <f t="shared" si="14"/>
        <v>/web/jws3/domains/P-WO11-O/P-WO11-O-F11</v>
      </c>
      <c r="AD34" s="57" t="str">
        <f t="shared" si="56"/>
        <v>/wo1/wo11/webApp</v>
      </c>
      <c r="AE34" s="57" t="str">
        <f t="shared" si="13"/>
        <v>/log/jws3/P-WO11-O/P-WO11-O-F11</v>
      </c>
      <c r="AF34" s="157" t="s">
        <v>86</v>
      </c>
      <c r="AG34" s="13" t="s">
        <v>87</v>
      </c>
      <c r="AH34" s="13">
        <v>9998</v>
      </c>
      <c r="AI34" s="160" t="s">
        <v>419</v>
      </c>
      <c r="AJ34" s="57"/>
      <c r="AK34" s="209" t="s">
        <v>702</v>
      </c>
    </row>
    <row r="35" spans="1:37" s="51" customFormat="1" ht="16.5" customHeight="1" x14ac:dyDescent="0.3">
      <c r="A35" s="8" t="s">
        <v>12</v>
      </c>
      <c r="B35" s="157" t="s">
        <v>231</v>
      </c>
      <c r="C35" s="8">
        <v>1</v>
      </c>
      <c r="D35" s="52" t="s">
        <v>285</v>
      </c>
      <c r="E35" s="52" t="str">
        <f t="shared" si="57"/>
        <v>picoap01</v>
      </c>
      <c r="F35" s="9" t="s">
        <v>290</v>
      </c>
      <c r="G35" s="33" t="str">
        <f>VLOOKUP(F35,'Domain별 코드 체계'!$B$5:$J$29,7,0)</f>
        <v>WO12</v>
      </c>
      <c r="H35" s="127" t="s">
        <v>318</v>
      </c>
      <c r="I35" s="10" t="str">
        <f t="shared" si="46"/>
        <v>P-WO12-O</v>
      </c>
      <c r="J35" s="131" t="s">
        <v>308</v>
      </c>
      <c r="K35" s="157">
        <v>1</v>
      </c>
      <c r="L35" s="57" t="str">
        <f t="shared" si="47"/>
        <v>P-WO12-O-S11</v>
      </c>
      <c r="M35" s="57" t="str">
        <f t="shared" si="48"/>
        <v>P-WO12-O-A11</v>
      </c>
      <c r="N35" s="57">
        <f t="shared" si="49"/>
        <v>1024</v>
      </c>
      <c r="O35" s="57">
        <f t="shared" si="50"/>
        <v>256</v>
      </c>
      <c r="P35" s="57">
        <f t="shared" si="51"/>
        <v>256</v>
      </c>
      <c r="Q35" s="57">
        <f t="shared" si="52"/>
        <v>256</v>
      </c>
      <c r="R35" s="57">
        <f t="shared" si="53"/>
        <v>256</v>
      </c>
      <c r="S35" s="157" t="s">
        <v>80</v>
      </c>
      <c r="T35" s="57" t="str">
        <f t="shared" si="12"/>
        <v>/was/jboss7/domains/P-WO12-O/P-WO12-O-S11</v>
      </c>
      <c r="U35" s="57" t="str">
        <f t="shared" si="55"/>
        <v>/wo1/wo12/wasApp</v>
      </c>
      <c r="V35" s="57" t="str">
        <f t="shared" si="54"/>
        <v>/log/jboss7/P-WO12-O/P-WO12-O-S11</v>
      </c>
      <c r="W35" s="157" t="s">
        <v>86</v>
      </c>
      <c r="X35" s="13" t="s">
        <v>87</v>
      </c>
      <c r="Y35" s="13">
        <v>9998</v>
      </c>
      <c r="Z35" s="57" t="str">
        <f>"http://40.10.22.156:"&amp;VLOOKUP(L35,'WAS Instance'!$M$7:$T$98,6,0)&amp;"/console"</f>
        <v>http://40.10.22.156:15129/console</v>
      </c>
      <c r="AA35" s="57"/>
      <c r="AB35" s="170"/>
      <c r="AC35" s="162" t="str">
        <f t="shared" si="14"/>
        <v>/web/jws3/domains/P-WO12-O/P-WO12-O-S11</v>
      </c>
      <c r="AD35" s="57" t="str">
        <f t="shared" si="56"/>
        <v>/wo1/wo12/webApp</v>
      </c>
      <c r="AE35" s="57" t="str">
        <f t="shared" si="13"/>
        <v>/log/jws3/P-WO12-O/P-WO12-O-S11</v>
      </c>
      <c r="AF35" s="157" t="s">
        <v>86</v>
      </c>
      <c r="AG35" s="13" t="s">
        <v>87</v>
      </c>
      <c r="AH35" s="13">
        <v>9998</v>
      </c>
      <c r="AI35" s="160" t="s">
        <v>419</v>
      </c>
      <c r="AJ35" s="57"/>
      <c r="AK35" s="209" t="s">
        <v>702</v>
      </c>
    </row>
    <row r="36" spans="1:37" s="51" customFormat="1" ht="16.5" customHeight="1" thickBot="1" x14ac:dyDescent="0.35">
      <c r="A36" s="75" t="s">
        <v>12</v>
      </c>
      <c r="B36" s="79" t="s">
        <v>231</v>
      </c>
      <c r="C36" s="75">
        <v>1</v>
      </c>
      <c r="D36" s="76" t="s">
        <v>285</v>
      </c>
      <c r="E36" s="76" t="str">
        <f t="shared" si="57"/>
        <v>picoap01</v>
      </c>
      <c r="F36" s="73" t="s">
        <v>291</v>
      </c>
      <c r="G36" s="77" t="str">
        <f>VLOOKUP(F36,'Domain별 코드 체계'!$B$5:$J$29,7,0)</f>
        <v>WO13</v>
      </c>
      <c r="H36" s="127" t="s">
        <v>318</v>
      </c>
      <c r="I36" s="78" t="str">
        <f t="shared" si="46"/>
        <v>P-WO13-O</v>
      </c>
      <c r="J36" s="132" t="s">
        <v>308</v>
      </c>
      <c r="K36" s="79">
        <v>1</v>
      </c>
      <c r="L36" s="80" t="str">
        <f t="shared" si="47"/>
        <v>P-WO13-O-S11</v>
      </c>
      <c r="M36" s="80" t="str">
        <f t="shared" si="48"/>
        <v>P-WO13-O-A11</v>
      </c>
      <c r="N36" s="80">
        <f t="shared" si="49"/>
        <v>1024</v>
      </c>
      <c r="O36" s="80">
        <f t="shared" si="50"/>
        <v>256</v>
      </c>
      <c r="P36" s="80">
        <f t="shared" si="51"/>
        <v>256</v>
      </c>
      <c r="Q36" s="80">
        <f t="shared" si="52"/>
        <v>256</v>
      </c>
      <c r="R36" s="80">
        <f t="shared" si="53"/>
        <v>256</v>
      </c>
      <c r="S36" s="79" t="s">
        <v>80</v>
      </c>
      <c r="T36" s="109" t="str">
        <f t="shared" si="12"/>
        <v>/was/jboss7/domains/P-WO13-O/P-WO13-O-S11</v>
      </c>
      <c r="U36" s="109" t="str">
        <f>CONCATENATE("/",LOWER(B36),"/",LOWER(LEFT(G36,4)),"/wasApp")</f>
        <v>/wo1/wo13/wasApp</v>
      </c>
      <c r="V36" s="80" t="str">
        <f t="shared" si="54"/>
        <v>/log/jboss7/P-WO13-O/P-WO13-O-S11</v>
      </c>
      <c r="W36" s="79" t="s">
        <v>86</v>
      </c>
      <c r="X36" s="82" t="s">
        <v>87</v>
      </c>
      <c r="Y36" s="82">
        <v>9998</v>
      </c>
      <c r="Z36" s="80" t="str">
        <f>"http://40.10.22.156:"&amp;VLOOKUP(L36,'WAS Instance'!$M$7:$T$98,6,0)&amp;"/console"</f>
        <v>http://40.10.22.156:15139/console</v>
      </c>
      <c r="AA36" s="80"/>
      <c r="AB36" s="171"/>
      <c r="AC36" s="167" t="str">
        <f t="shared" si="14"/>
        <v>/web/jws3/domains/P-WO13-O/P-WO13-O-S11</v>
      </c>
      <c r="AD36" s="109" t="str">
        <f>CONCATENATE("/",LOWER(B36),"/",LOWER(LEFT(G36,4)),"/webApp")</f>
        <v>/wo1/wo13/webApp</v>
      </c>
      <c r="AE36" s="109" t="str">
        <f t="shared" si="13"/>
        <v>/log/jws3/P-WO13-O/P-WO13-O-S11</v>
      </c>
      <c r="AF36" s="79" t="s">
        <v>86</v>
      </c>
      <c r="AG36" s="82" t="s">
        <v>87</v>
      </c>
      <c r="AH36" s="82">
        <v>9998</v>
      </c>
      <c r="AI36" s="79" t="s">
        <v>419</v>
      </c>
      <c r="AJ36" s="80"/>
      <c r="AK36" s="79" t="s">
        <v>702</v>
      </c>
    </row>
    <row r="37" spans="1:37" s="51" customFormat="1" ht="16.5" customHeight="1" x14ac:dyDescent="0.3">
      <c r="A37" s="89" t="s">
        <v>12</v>
      </c>
      <c r="B37" s="95" t="s">
        <v>222</v>
      </c>
      <c r="C37" s="90">
        <v>2</v>
      </c>
      <c r="D37" s="91" t="s">
        <v>312</v>
      </c>
      <c r="E37" s="91" t="str">
        <f>CONCATENATE(A37,"ico","ap0",C37)</f>
        <v>picoap02</v>
      </c>
      <c r="F37" s="92" t="s">
        <v>112</v>
      </c>
      <c r="G37" s="93" t="str">
        <f>VLOOKUP(F37,'Domain별 코드 체계'!$B$5:$J$29,7,0)</f>
        <v>BE11</v>
      </c>
      <c r="H37" s="128" t="s">
        <v>5</v>
      </c>
      <c r="I37" s="94" t="str">
        <f t="shared" si="46"/>
        <v>P-BE11-O</v>
      </c>
      <c r="J37" s="131" t="s">
        <v>88</v>
      </c>
      <c r="K37" s="157">
        <v>1</v>
      </c>
      <c r="L37" s="96" t="str">
        <f t="shared" si="47"/>
        <v>P-BE11-O-F21</v>
      </c>
      <c r="M37" s="96" t="str">
        <f t="shared" si="48"/>
        <v>P-BE11-O-A11</v>
      </c>
      <c r="N37" s="96">
        <f t="shared" si="49"/>
        <v>2048</v>
      </c>
      <c r="O37" s="96">
        <f t="shared" si="50"/>
        <v>768</v>
      </c>
      <c r="P37" s="96">
        <f t="shared" si="51"/>
        <v>768</v>
      </c>
      <c r="Q37" s="96">
        <f t="shared" si="52"/>
        <v>512</v>
      </c>
      <c r="R37" s="96">
        <f t="shared" si="53"/>
        <v>512</v>
      </c>
      <c r="S37" s="95" t="s">
        <v>80</v>
      </c>
      <c r="T37" s="143" t="str">
        <f t="shared" si="12"/>
        <v>/was/jboss7/domains/P-BE11-O/P-BE11-O-F21</v>
      </c>
      <c r="U37" s="143" t="str">
        <f>CONCATENATE("/",LOWER(B37),"/",LOWER(LEFT(G37,4)),"/wasApp")</f>
        <v>/be1/be11/wasApp</v>
      </c>
      <c r="V37" s="96" t="str">
        <f t="shared" si="54"/>
        <v>/log/jboss7/P-BE11-O/P-BE11-O-F21</v>
      </c>
      <c r="W37" s="95" t="s">
        <v>86</v>
      </c>
      <c r="X37" s="98" t="s">
        <v>87</v>
      </c>
      <c r="Y37" s="98">
        <v>9998</v>
      </c>
      <c r="Z37" s="96" t="str">
        <f>"http://40.10.22.156:"&amp;VLOOKUP(L37,'WAS Instance'!$M$7:$T$98,6,0)&amp;"/console"</f>
        <v>http://40.10.22.156:14221/console</v>
      </c>
      <c r="AA37" s="96"/>
      <c r="AB37" s="176"/>
      <c r="AC37" s="168" t="str">
        <f t="shared" si="14"/>
        <v>/web/jws3/domains/P-BE11-O/P-BE11-O-F21</v>
      </c>
      <c r="AD37" s="143" t="str">
        <f>CONCATENATE("/",LOWER(B37),"/",LOWER(LEFT(G37,4)),"/webApp")</f>
        <v>/be1/be11/webApp</v>
      </c>
      <c r="AE37" s="143" t="str">
        <f t="shared" si="13"/>
        <v>/log/jws3/P-BE11-O/P-BE11-O-F21</v>
      </c>
      <c r="AF37" s="95" t="s">
        <v>86</v>
      </c>
      <c r="AG37" s="98" t="s">
        <v>87</v>
      </c>
      <c r="AH37" s="98">
        <v>9998</v>
      </c>
      <c r="AI37" s="95" t="s">
        <v>419</v>
      </c>
      <c r="AJ37" s="96"/>
      <c r="AK37" s="256" t="s">
        <v>699</v>
      </c>
    </row>
    <row r="38" spans="1:37" s="51" customFormat="1" ht="16.5" customHeight="1" x14ac:dyDescent="0.3">
      <c r="A38" s="100" t="s">
        <v>12</v>
      </c>
      <c r="B38" s="157" t="s">
        <v>222</v>
      </c>
      <c r="C38" s="8">
        <v>2</v>
      </c>
      <c r="D38" s="52" t="s">
        <v>312</v>
      </c>
      <c r="E38" s="52" t="str">
        <f>CONCATENATE(A38,"ico","ap0",C38)</f>
        <v>picoap02</v>
      </c>
      <c r="F38" s="9" t="s">
        <v>112</v>
      </c>
      <c r="G38" s="33" t="str">
        <f>VLOOKUP(F38,'Domain별 코드 체계'!$B$5:$J$29,7,0)</f>
        <v>BE11</v>
      </c>
      <c r="H38" s="126" t="s">
        <v>5</v>
      </c>
      <c r="I38" s="10" t="str">
        <f t="shared" si="46"/>
        <v>P-BE11-O</v>
      </c>
      <c r="J38" s="131" t="s">
        <v>88</v>
      </c>
      <c r="K38" s="157">
        <v>2</v>
      </c>
      <c r="L38" s="199" t="str">
        <f t="shared" si="47"/>
        <v>P-BE11-O-F22</v>
      </c>
      <c r="M38" s="199" t="str">
        <f t="shared" si="48"/>
        <v>P-BE11-O-A11</v>
      </c>
      <c r="N38" s="199">
        <f t="shared" si="49"/>
        <v>2048</v>
      </c>
      <c r="O38" s="199">
        <f t="shared" si="50"/>
        <v>768</v>
      </c>
      <c r="P38" s="199">
        <f t="shared" si="51"/>
        <v>768</v>
      </c>
      <c r="Q38" s="199">
        <f t="shared" si="52"/>
        <v>512</v>
      </c>
      <c r="R38" s="199">
        <f t="shared" si="53"/>
        <v>512</v>
      </c>
      <c r="S38" s="198" t="s">
        <v>80</v>
      </c>
      <c r="T38" s="199" t="str">
        <f t="shared" si="12"/>
        <v>/was/jboss7/domains/P-BE11-O/P-BE11-O-F22</v>
      </c>
      <c r="U38" s="199" t="str">
        <f>CONCATENATE("/",LOWER(B38),"/",LOWER(LEFT(G38,4)),"/wasApp")</f>
        <v>/be1/be11/wasApp</v>
      </c>
      <c r="V38" s="199" t="str">
        <f t="shared" si="54"/>
        <v>/log/jboss7/P-BE11-O/P-BE11-O-F22</v>
      </c>
      <c r="W38" s="198" t="s">
        <v>86</v>
      </c>
      <c r="X38" s="200" t="s">
        <v>87</v>
      </c>
      <c r="Y38" s="200">
        <v>9998</v>
      </c>
      <c r="Z38" s="199" t="str">
        <f>"http://40.10.22.156:"&amp;VLOOKUP(L38,'WAS Instance'!$M$7:$T$98,6,0)&amp;"/console"</f>
        <v>http://40.10.22.156:14222/console</v>
      </c>
      <c r="AA38" s="57"/>
      <c r="AB38" s="170"/>
      <c r="AC38" s="162" t="str">
        <f t="shared" si="14"/>
        <v>/web/jws3/domains/P-BE11-O/P-BE11-O-F22</v>
      </c>
      <c r="AD38" s="57" t="str">
        <f>CONCATENATE("/",LOWER(B38),"/",LOWER(LEFT(G38,4)),"/webApp")</f>
        <v>/be1/be11/webApp</v>
      </c>
      <c r="AE38" s="57" t="str">
        <f t="shared" si="13"/>
        <v>/log/jws3/P-BE11-O/P-BE11-O-F22</v>
      </c>
      <c r="AF38" s="157" t="s">
        <v>86</v>
      </c>
      <c r="AG38" s="13" t="s">
        <v>87</v>
      </c>
      <c r="AH38" s="13">
        <v>9998</v>
      </c>
      <c r="AI38" s="160" t="s">
        <v>419</v>
      </c>
      <c r="AJ38" s="57"/>
      <c r="AK38" s="159" t="s">
        <v>701</v>
      </c>
    </row>
    <row r="39" spans="1:37" s="51" customFormat="1" ht="16.5" customHeight="1" x14ac:dyDescent="0.3">
      <c r="A39" s="100" t="s">
        <v>12</v>
      </c>
      <c r="B39" s="8" t="s">
        <v>236</v>
      </c>
      <c r="C39" s="8">
        <v>2</v>
      </c>
      <c r="D39" s="52" t="s">
        <v>312</v>
      </c>
      <c r="E39" s="52" t="str">
        <f>CONCATENATE(A39,"ico","ap0",C39)</f>
        <v>picoap02</v>
      </c>
      <c r="F39" s="9" t="s">
        <v>210</v>
      </c>
      <c r="G39" s="33" t="str">
        <f>VLOOKUP(F39,'Domain별 코드 체계'!$B$5:$J$29,7,0)</f>
        <v>PQ11</v>
      </c>
      <c r="H39" s="126" t="s">
        <v>5</v>
      </c>
      <c r="I39" s="10" t="str">
        <f t="shared" si="46"/>
        <v>P-PQ11-O</v>
      </c>
      <c r="J39" s="131" t="s">
        <v>88</v>
      </c>
      <c r="K39" s="157">
        <v>1</v>
      </c>
      <c r="L39" s="57" t="str">
        <f t="shared" si="47"/>
        <v>P-PQ11-O-F21</v>
      </c>
      <c r="M39" s="57" t="str">
        <f t="shared" si="48"/>
        <v>P-PQ11-O-A11</v>
      </c>
      <c r="N39" s="57">
        <f t="shared" si="49"/>
        <v>2048</v>
      </c>
      <c r="O39" s="57">
        <f t="shared" si="50"/>
        <v>768</v>
      </c>
      <c r="P39" s="57">
        <f t="shared" si="51"/>
        <v>768</v>
      </c>
      <c r="Q39" s="57">
        <f t="shared" si="52"/>
        <v>512</v>
      </c>
      <c r="R39" s="57">
        <f t="shared" si="53"/>
        <v>512</v>
      </c>
      <c r="S39" s="157" t="s">
        <v>80</v>
      </c>
      <c r="T39" s="57" t="str">
        <f t="shared" si="12"/>
        <v>/was/jboss7/domains/P-PQ11-O/P-PQ11-O-F21</v>
      </c>
      <c r="U39" s="57" t="str">
        <f t="shared" ref="U39:U52" si="58">CONCATENATE("/",LOWER(B39),"/",LOWER(LEFT(G39,4)),"/wasApp")</f>
        <v>/pq1/pq11/wasApp</v>
      </c>
      <c r="V39" s="57" t="str">
        <f t="shared" si="54"/>
        <v>/log/jboss7/P-PQ11-O/P-PQ11-O-F21</v>
      </c>
      <c r="W39" s="157" t="s">
        <v>86</v>
      </c>
      <c r="X39" s="13" t="s">
        <v>87</v>
      </c>
      <c r="Y39" s="13">
        <v>9998</v>
      </c>
      <c r="Z39" s="57" t="str">
        <f>"http://40.10.22.156:"&amp;VLOOKUP(L39,'WAS Instance'!$M$7:$T$98,6,0)&amp;"/console"</f>
        <v>http://40.10.22.156:14121/console</v>
      </c>
      <c r="AA39" s="57"/>
      <c r="AB39" s="170"/>
      <c r="AC39" s="162" t="str">
        <f t="shared" si="14"/>
        <v>/web/jws3/domains/P-PQ11-O/P-PQ11-O-F21</v>
      </c>
      <c r="AD39" s="57" t="str">
        <f t="shared" ref="AD39:AD52" si="59">CONCATENATE("/",LOWER(B39),"/",LOWER(LEFT(G39,4)),"/webApp")</f>
        <v>/pq1/pq11/webApp</v>
      </c>
      <c r="AE39" s="57" t="str">
        <f t="shared" si="13"/>
        <v>/log/jws3/P-PQ11-O/P-PQ11-O-F21</v>
      </c>
      <c r="AF39" s="157" t="s">
        <v>86</v>
      </c>
      <c r="AG39" s="13" t="s">
        <v>87</v>
      </c>
      <c r="AH39" s="13">
        <v>9998</v>
      </c>
      <c r="AI39" s="160" t="s">
        <v>419</v>
      </c>
      <c r="AJ39" s="57"/>
      <c r="AK39" s="159" t="s">
        <v>699</v>
      </c>
    </row>
    <row r="40" spans="1:37" s="51" customFormat="1" ht="16.5" customHeight="1" x14ac:dyDescent="0.3">
      <c r="A40" s="100" t="s">
        <v>12</v>
      </c>
      <c r="B40" s="8" t="s">
        <v>236</v>
      </c>
      <c r="C40" s="8">
        <v>2</v>
      </c>
      <c r="D40" s="52" t="s">
        <v>312</v>
      </c>
      <c r="E40" s="52" t="str">
        <f>CONCATENATE(A40,"ico","ap0",C40)</f>
        <v>picoap02</v>
      </c>
      <c r="F40" s="9" t="s">
        <v>210</v>
      </c>
      <c r="G40" s="33" t="str">
        <f>VLOOKUP(F40,'Domain별 코드 체계'!$B$5:$J$29,7,0)</f>
        <v>PQ11</v>
      </c>
      <c r="H40" s="126" t="s">
        <v>5</v>
      </c>
      <c r="I40" s="10" t="str">
        <f t="shared" si="46"/>
        <v>P-PQ11-O</v>
      </c>
      <c r="J40" s="131" t="s">
        <v>88</v>
      </c>
      <c r="K40" s="157">
        <v>2</v>
      </c>
      <c r="L40" s="199" t="str">
        <f t="shared" si="47"/>
        <v>P-PQ11-O-F22</v>
      </c>
      <c r="M40" s="199" t="str">
        <f t="shared" si="48"/>
        <v>P-PQ11-O-A11</v>
      </c>
      <c r="N40" s="199">
        <f t="shared" si="49"/>
        <v>2048</v>
      </c>
      <c r="O40" s="199">
        <f t="shared" si="50"/>
        <v>768</v>
      </c>
      <c r="P40" s="199">
        <f t="shared" si="51"/>
        <v>768</v>
      </c>
      <c r="Q40" s="199">
        <f t="shared" si="52"/>
        <v>512</v>
      </c>
      <c r="R40" s="199">
        <f t="shared" si="53"/>
        <v>512</v>
      </c>
      <c r="S40" s="198" t="s">
        <v>80</v>
      </c>
      <c r="T40" s="199" t="str">
        <f t="shared" si="12"/>
        <v>/was/jboss7/domains/P-PQ11-O/P-PQ11-O-F22</v>
      </c>
      <c r="U40" s="199" t="str">
        <f t="shared" si="58"/>
        <v>/pq1/pq11/wasApp</v>
      </c>
      <c r="V40" s="199" t="str">
        <f t="shared" si="54"/>
        <v>/log/jboss7/P-PQ11-O/P-PQ11-O-F22</v>
      </c>
      <c r="W40" s="198" t="s">
        <v>86</v>
      </c>
      <c r="X40" s="200" t="s">
        <v>87</v>
      </c>
      <c r="Y40" s="200">
        <v>9998</v>
      </c>
      <c r="Z40" s="199" t="str">
        <f>"http://40.10.22.156:"&amp;VLOOKUP(L40,'WAS Instance'!$M$7:$T$98,6,0)&amp;"/console"</f>
        <v>http://40.10.22.156:14122/console</v>
      </c>
      <c r="AA40" s="57"/>
      <c r="AB40" s="170"/>
      <c r="AC40" s="162" t="str">
        <f t="shared" si="14"/>
        <v>/web/jws3/domains/P-PQ11-O/P-PQ11-O-F22</v>
      </c>
      <c r="AD40" s="57" t="str">
        <f t="shared" si="59"/>
        <v>/pq1/pq11/webApp</v>
      </c>
      <c r="AE40" s="57" t="str">
        <f t="shared" si="13"/>
        <v>/log/jws3/P-PQ11-O/P-PQ11-O-F22</v>
      </c>
      <c r="AF40" s="157" t="s">
        <v>86</v>
      </c>
      <c r="AG40" s="13" t="s">
        <v>87</v>
      </c>
      <c r="AH40" s="13">
        <v>9998</v>
      </c>
      <c r="AI40" s="160" t="s">
        <v>419</v>
      </c>
      <c r="AJ40" s="57"/>
      <c r="AK40" s="159" t="s">
        <v>701</v>
      </c>
    </row>
    <row r="41" spans="1:37" s="51" customFormat="1" ht="16.5" customHeight="1" x14ac:dyDescent="0.3">
      <c r="A41" s="100" t="s">
        <v>12</v>
      </c>
      <c r="B41" s="8" t="s">
        <v>236</v>
      </c>
      <c r="C41" s="8">
        <v>2</v>
      </c>
      <c r="D41" s="52" t="s">
        <v>312</v>
      </c>
      <c r="E41" s="52" t="str">
        <f t="shared" ref="E41:E53" si="60">CONCATENATE(A41,"ico","ap0",C41)</f>
        <v>picoap02</v>
      </c>
      <c r="F41" s="9" t="s">
        <v>210</v>
      </c>
      <c r="G41" s="33" t="str">
        <f>VLOOKUP(F41,'Domain별 코드 체계'!$B$5:$J$29,7,0)</f>
        <v>PQ11</v>
      </c>
      <c r="H41" s="126" t="s">
        <v>5</v>
      </c>
      <c r="I41" s="10" t="str">
        <f t="shared" si="46"/>
        <v>P-PQ11-O</v>
      </c>
      <c r="J41" s="131" t="s">
        <v>308</v>
      </c>
      <c r="K41" s="157">
        <v>1</v>
      </c>
      <c r="L41" s="57" t="str">
        <f t="shared" si="47"/>
        <v>P-PQ11-O-S21</v>
      </c>
      <c r="M41" s="57" t="str">
        <f t="shared" si="48"/>
        <v>P-PQ11-O-A11</v>
      </c>
      <c r="N41" s="57">
        <f t="shared" si="49"/>
        <v>1024</v>
      </c>
      <c r="O41" s="57">
        <f t="shared" si="50"/>
        <v>256</v>
      </c>
      <c r="P41" s="57">
        <f t="shared" si="51"/>
        <v>256</v>
      </c>
      <c r="Q41" s="57">
        <f t="shared" si="52"/>
        <v>256</v>
      </c>
      <c r="R41" s="57">
        <f t="shared" si="53"/>
        <v>256</v>
      </c>
      <c r="S41" s="157" t="s">
        <v>80</v>
      </c>
      <c r="T41" s="57" t="str">
        <f t="shared" si="12"/>
        <v>/was/jboss7/domains/P-PQ11-O/P-PQ11-O-S21</v>
      </c>
      <c r="U41" s="57" t="str">
        <f t="shared" si="58"/>
        <v>/pq1/pq11/wasApp</v>
      </c>
      <c r="V41" s="57" t="str">
        <f t="shared" si="54"/>
        <v>/log/jboss7/P-PQ11-O/P-PQ11-O-S21</v>
      </c>
      <c r="W41" s="157" t="s">
        <v>86</v>
      </c>
      <c r="X41" s="13" t="s">
        <v>87</v>
      </c>
      <c r="Y41" s="13">
        <v>9998</v>
      </c>
      <c r="Z41" s="57" t="str">
        <f>"http://40.10.22.156:"&amp;VLOOKUP(L41,'WAS Instance'!$M$7:$T$98,6,0)&amp;"/console"</f>
        <v>http://40.10.22.156:14129/console</v>
      </c>
      <c r="AA41" s="57"/>
      <c r="AB41" s="170"/>
      <c r="AC41" s="162" t="str">
        <f t="shared" si="14"/>
        <v>/web/jws3/domains/P-PQ11-O/P-PQ11-O-S21</v>
      </c>
      <c r="AD41" s="57" t="str">
        <f t="shared" si="59"/>
        <v>/pq1/pq11/webApp</v>
      </c>
      <c r="AE41" s="57" t="str">
        <f t="shared" si="13"/>
        <v>/log/jws3/P-PQ11-O/P-PQ11-O-S21</v>
      </c>
      <c r="AF41" s="157" t="s">
        <v>86</v>
      </c>
      <c r="AG41" s="13" t="s">
        <v>87</v>
      </c>
      <c r="AH41" s="13">
        <v>9998</v>
      </c>
      <c r="AI41" s="160" t="s">
        <v>419</v>
      </c>
      <c r="AJ41" s="57"/>
      <c r="AK41" s="159" t="s">
        <v>699</v>
      </c>
    </row>
    <row r="42" spans="1:37" s="51" customFormat="1" ht="16.5" customHeight="1" x14ac:dyDescent="0.3">
      <c r="A42" s="100" t="s">
        <v>12</v>
      </c>
      <c r="B42" s="8" t="s">
        <v>223</v>
      </c>
      <c r="C42" s="8">
        <v>2</v>
      </c>
      <c r="D42" s="52" t="s">
        <v>312</v>
      </c>
      <c r="E42" s="52" t="str">
        <f t="shared" si="60"/>
        <v>picoap02</v>
      </c>
      <c r="F42" s="9" t="s">
        <v>194</v>
      </c>
      <c r="G42" s="33" t="str">
        <f>VLOOKUP(F42,'Domain별 코드 체계'!$B$5:$J$29,7,0)</f>
        <v>SP11</v>
      </c>
      <c r="H42" s="126" t="s">
        <v>5</v>
      </c>
      <c r="I42" s="10" t="str">
        <f t="shared" si="46"/>
        <v>P-SP11-O</v>
      </c>
      <c r="J42" s="131" t="s">
        <v>88</v>
      </c>
      <c r="K42" s="157">
        <v>1</v>
      </c>
      <c r="L42" s="57" t="str">
        <f t="shared" si="47"/>
        <v>P-SP11-O-F21</v>
      </c>
      <c r="M42" s="57" t="str">
        <f t="shared" si="48"/>
        <v>P-SP11-O-A11</v>
      </c>
      <c r="N42" s="57">
        <f t="shared" si="49"/>
        <v>2048</v>
      </c>
      <c r="O42" s="57">
        <f t="shared" si="50"/>
        <v>768</v>
      </c>
      <c r="P42" s="57">
        <f t="shared" si="51"/>
        <v>768</v>
      </c>
      <c r="Q42" s="57">
        <f t="shared" si="52"/>
        <v>512</v>
      </c>
      <c r="R42" s="57">
        <f t="shared" si="53"/>
        <v>512</v>
      </c>
      <c r="S42" s="157" t="s">
        <v>80</v>
      </c>
      <c r="T42" s="57" t="str">
        <f t="shared" si="12"/>
        <v>/was/jboss7/domains/P-SP11-O/P-SP11-O-F21</v>
      </c>
      <c r="U42" s="57" t="str">
        <f t="shared" si="58"/>
        <v>/sp1/sp11/wasApp</v>
      </c>
      <c r="V42" s="57" t="str">
        <f t="shared" si="54"/>
        <v>/log/jboss7/P-SP11-O/P-SP11-O-F21</v>
      </c>
      <c r="W42" s="157" t="s">
        <v>86</v>
      </c>
      <c r="X42" s="13" t="s">
        <v>87</v>
      </c>
      <c r="Y42" s="13">
        <v>9998</v>
      </c>
      <c r="Z42" s="57" t="str">
        <f>"http://40.10.22.156:"&amp;VLOOKUP(L42,'WAS Instance'!$M$7:$T$98,6,0)&amp;"/console"</f>
        <v>http://40.10.22.156:14021/console</v>
      </c>
      <c r="AA42" s="57"/>
      <c r="AB42" s="170"/>
      <c r="AC42" s="162" t="str">
        <f t="shared" si="14"/>
        <v>/web/jws3/domains/P-SP11-O/P-SP11-O-F21</v>
      </c>
      <c r="AD42" s="57" t="str">
        <f t="shared" si="59"/>
        <v>/sp1/sp11/webApp</v>
      </c>
      <c r="AE42" s="57" t="str">
        <f t="shared" si="13"/>
        <v>/log/jws3/P-SP11-O/P-SP11-O-F21</v>
      </c>
      <c r="AF42" s="157" t="s">
        <v>86</v>
      </c>
      <c r="AG42" s="13" t="s">
        <v>87</v>
      </c>
      <c r="AH42" s="13">
        <v>9998</v>
      </c>
      <c r="AI42" s="160" t="s">
        <v>419</v>
      </c>
      <c r="AJ42" s="57"/>
      <c r="AK42" s="159" t="s">
        <v>702</v>
      </c>
    </row>
    <row r="43" spans="1:37" s="51" customFormat="1" ht="16.5" customHeight="1" x14ac:dyDescent="0.3">
      <c r="A43" s="100" t="s">
        <v>12</v>
      </c>
      <c r="B43" s="8" t="s">
        <v>223</v>
      </c>
      <c r="C43" s="8">
        <v>2</v>
      </c>
      <c r="D43" s="52" t="s">
        <v>312</v>
      </c>
      <c r="E43" s="52" t="str">
        <f t="shared" si="60"/>
        <v>picoap02</v>
      </c>
      <c r="F43" s="9" t="s">
        <v>194</v>
      </c>
      <c r="G43" s="33" t="str">
        <f>VLOOKUP(F43,'Domain별 코드 체계'!$B$5:$J$29,7,0)</f>
        <v>SP11</v>
      </c>
      <c r="H43" s="126" t="s">
        <v>5</v>
      </c>
      <c r="I43" s="10" t="str">
        <f t="shared" si="46"/>
        <v>P-SP11-O</v>
      </c>
      <c r="J43" s="131" t="s">
        <v>308</v>
      </c>
      <c r="K43" s="157">
        <v>1</v>
      </c>
      <c r="L43" s="57" t="str">
        <f t="shared" si="47"/>
        <v>P-SP11-O-S21</v>
      </c>
      <c r="M43" s="57" t="str">
        <f t="shared" si="48"/>
        <v>P-SP11-O-A11</v>
      </c>
      <c r="N43" s="57">
        <f t="shared" si="49"/>
        <v>1024</v>
      </c>
      <c r="O43" s="57">
        <f t="shared" si="50"/>
        <v>256</v>
      </c>
      <c r="P43" s="57">
        <f t="shared" si="51"/>
        <v>256</v>
      </c>
      <c r="Q43" s="57">
        <f t="shared" si="52"/>
        <v>256</v>
      </c>
      <c r="R43" s="57">
        <f t="shared" si="53"/>
        <v>256</v>
      </c>
      <c r="S43" s="157" t="s">
        <v>80</v>
      </c>
      <c r="T43" s="57" t="str">
        <f t="shared" si="12"/>
        <v>/was/jboss7/domains/P-SP11-O/P-SP11-O-S21</v>
      </c>
      <c r="U43" s="57" t="str">
        <f t="shared" si="58"/>
        <v>/sp1/sp11/wasApp</v>
      </c>
      <c r="V43" s="57" t="str">
        <f t="shared" si="54"/>
        <v>/log/jboss7/P-SP11-O/P-SP11-O-S21</v>
      </c>
      <c r="W43" s="157" t="s">
        <v>86</v>
      </c>
      <c r="X43" s="13" t="s">
        <v>87</v>
      </c>
      <c r="Y43" s="13">
        <v>9998</v>
      </c>
      <c r="Z43" s="57" t="str">
        <f>"http://40.10.22.156:"&amp;VLOOKUP(L43,'WAS Instance'!$M$7:$T$98,6,0)&amp;"/console"</f>
        <v>http://40.10.22.156:14029/console</v>
      </c>
      <c r="AA43" s="57"/>
      <c r="AB43" s="170"/>
      <c r="AC43" s="162" t="str">
        <f t="shared" si="14"/>
        <v>/web/jws3/domains/P-SP11-O/P-SP11-O-S21</v>
      </c>
      <c r="AD43" s="57" t="str">
        <f t="shared" si="59"/>
        <v>/sp1/sp11/webApp</v>
      </c>
      <c r="AE43" s="57" t="str">
        <f t="shared" si="13"/>
        <v>/log/jws3/P-SP11-O/P-SP11-O-S21</v>
      </c>
      <c r="AF43" s="157" t="s">
        <v>86</v>
      </c>
      <c r="AG43" s="13" t="s">
        <v>87</v>
      </c>
      <c r="AH43" s="13">
        <v>9998</v>
      </c>
      <c r="AI43" s="160" t="s">
        <v>419</v>
      </c>
      <c r="AJ43" s="57"/>
      <c r="AK43" s="159" t="s">
        <v>702</v>
      </c>
    </row>
    <row r="44" spans="1:37" s="51" customFormat="1" ht="16.5" customHeight="1" x14ac:dyDescent="0.3">
      <c r="A44" s="100" t="s">
        <v>12</v>
      </c>
      <c r="B44" s="157" t="s">
        <v>227</v>
      </c>
      <c r="C44" s="8">
        <v>2</v>
      </c>
      <c r="D44" s="52" t="s">
        <v>312</v>
      </c>
      <c r="E44" s="52" t="str">
        <f t="shared" si="60"/>
        <v>picoap02</v>
      </c>
      <c r="F44" s="9" t="s">
        <v>191</v>
      </c>
      <c r="G44" s="33" t="str">
        <f>VLOOKUP(F44,'Domain별 코드 체계'!$B$5:$J$29,7,0)</f>
        <v>GE21</v>
      </c>
      <c r="H44" s="127" t="s">
        <v>318</v>
      </c>
      <c r="I44" s="10" t="str">
        <f t="shared" si="46"/>
        <v>P-GE21-O</v>
      </c>
      <c r="J44" s="131" t="s">
        <v>319</v>
      </c>
      <c r="K44" s="157">
        <v>1</v>
      </c>
      <c r="L44" s="57" t="str">
        <f t="shared" si="47"/>
        <v>P-GE21-O-F21</v>
      </c>
      <c r="M44" s="57" t="str">
        <f t="shared" si="48"/>
        <v>P-GE21-O-A11</v>
      </c>
      <c r="N44" s="57">
        <f t="shared" si="49"/>
        <v>2048</v>
      </c>
      <c r="O44" s="57">
        <f t="shared" si="50"/>
        <v>768</v>
      </c>
      <c r="P44" s="57">
        <f t="shared" si="51"/>
        <v>768</v>
      </c>
      <c r="Q44" s="57">
        <f t="shared" si="52"/>
        <v>512</v>
      </c>
      <c r="R44" s="57">
        <f t="shared" si="53"/>
        <v>512</v>
      </c>
      <c r="S44" s="157" t="s">
        <v>80</v>
      </c>
      <c r="T44" s="57" t="str">
        <f t="shared" si="12"/>
        <v>/was/jboss7/domains/P-GE21-O/P-GE21-O-F21</v>
      </c>
      <c r="U44" s="57" t="str">
        <f t="shared" si="58"/>
        <v>/ge2/ge21/wasApp</v>
      </c>
      <c r="V44" s="57" t="str">
        <f t="shared" si="54"/>
        <v>/log/jboss7/P-GE21-O/P-GE21-O-F21</v>
      </c>
      <c r="W44" s="157" t="s">
        <v>86</v>
      </c>
      <c r="X44" s="13" t="s">
        <v>87</v>
      </c>
      <c r="Y44" s="13">
        <v>9998</v>
      </c>
      <c r="Z44" s="57" t="str">
        <f>"http://40.10.22.156:"&amp;VLOOKUP(L44,'WAS Instance'!$M$7:$T$98,6,0)&amp;"/console"</f>
        <v>http://40.10.22.156:14321/console</v>
      </c>
      <c r="AA44" s="57"/>
      <c r="AB44" s="170"/>
      <c r="AC44" s="162" t="str">
        <f t="shared" si="14"/>
        <v>/web/jws3/domains/P-GE21-O/P-GE21-O-F21</v>
      </c>
      <c r="AD44" s="57" t="str">
        <f t="shared" si="59"/>
        <v>/ge2/ge21/webApp</v>
      </c>
      <c r="AE44" s="57" t="str">
        <f t="shared" si="13"/>
        <v>/log/jws3/P-GE21-O/P-GE21-O-F21</v>
      </c>
      <c r="AF44" s="157" t="s">
        <v>86</v>
      </c>
      <c r="AG44" s="13" t="s">
        <v>87</v>
      </c>
      <c r="AH44" s="13">
        <v>9998</v>
      </c>
      <c r="AI44" s="160" t="s">
        <v>419</v>
      </c>
      <c r="AJ44" s="57"/>
      <c r="AK44" s="159" t="s">
        <v>702</v>
      </c>
    </row>
    <row r="45" spans="1:37" s="51" customFormat="1" ht="16.5" customHeight="1" x14ac:dyDescent="0.3">
      <c r="A45" s="100" t="s">
        <v>12</v>
      </c>
      <c r="B45" s="157" t="s">
        <v>227</v>
      </c>
      <c r="C45" s="8">
        <v>2</v>
      </c>
      <c r="D45" s="52" t="s">
        <v>312</v>
      </c>
      <c r="E45" s="52" t="str">
        <f t="shared" si="60"/>
        <v>picoap02</v>
      </c>
      <c r="F45" s="9" t="s">
        <v>191</v>
      </c>
      <c r="G45" s="33" t="str">
        <f>VLOOKUP(F45,'Domain별 코드 체계'!$B$5:$J$29,7,0)</f>
        <v>GE21</v>
      </c>
      <c r="H45" s="127" t="s">
        <v>318</v>
      </c>
      <c r="I45" s="10" t="str">
        <f t="shared" si="46"/>
        <v>P-GE21-O</v>
      </c>
      <c r="J45" s="131" t="s">
        <v>319</v>
      </c>
      <c r="K45" s="157">
        <v>2</v>
      </c>
      <c r="L45" s="199" t="str">
        <f t="shared" si="47"/>
        <v>P-GE21-O-F22</v>
      </c>
      <c r="M45" s="199" t="str">
        <f t="shared" si="48"/>
        <v>P-GE21-O-A11</v>
      </c>
      <c r="N45" s="199">
        <f t="shared" si="49"/>
        <v>2048</v>
      </c>
      <c r="O45" s="199">
        <f t="shared" si="50"/>
        <v>768</v>
      </c>
      <c r="P45" s="199">
        <f t="shared" si="51"/>
        <v>768</v>
      </c>
      <c r="Q45" s="199">
        <f t="shared" si="52"/>
        <v>512</v>
      </c>
      <c r="R45" s="199">
        <f t="shared" si="53"/>
        <v>512</v>
      </c>
      <c r="S45" s="198" t="s">
        <v>80</v>
      </c>
      <c r="T45" s="199" t="str">
        <f t="shared" si="12"/>
        <v>/was/jboss7/domains/P-GE21-O/P-GE21-O-F22</v>
      </c>
      <c r="U45" s="199" t="str">
        <f t="shared" si="58"/>
        <v>/ge2/ge21/wasApp</v>
      </c>
      <c r="V45" s="199" t="str">
        <f t="shared" si="54"/>
        <v>/log/jboss7/P-GE21-O/P-GE21-O-F22</v>
      </c>
      <c r="W45" s="198" t="s">
        <v>86</v>
      </c>
      <c r="X45" s="200" t="s">
        <v>87</v>
      </c>
      <c r="Y45" s="200">
        <v>9998</v>
      </c>
      <c r="Z45" s="199" t="str">
        <f>"http://40.10.22.156:"&amp;VLOOKUP(L45,'WAS Instance'!$M$7:$T$98,6,0)&amp;"/console"</f>
        <v>http://40.10.22.156:14322/console</v>
      </c>
      <c r="AA45" s="57"/>
      <c r="AB45" s="170"/>
      <c r="AC45" s="162" t="str">
        <f t="shared" si="14"/>
        <v>/web/jws3/domains/P-GE21-O/P-GE21-O-F22</v>
      </c>
      <c r="AD45" s="57" t="str">
        <f t="shared" si="59"/>
        <v>/ge2/ge21/webApp</v>
      </c>
      <c r="AE45" s="57" t="str">
        <f t="shared" si="13"/>
        <v>/log/jws3/P-GE21-O/P-GE21-O-F22</v>
      </c>
      <c r="AF45" s="157" t="s">
        <v>86</v>
      </c>
      <c r="AG45" s="13" t="s">
        <v>87</v>
      </c>
      <c r="AH45" s="13">
        <v>9998</v>
      </c>
      <c r="AI45" s="160" t="s">
        <v>419</v>
      </c>
      <c r="AJ45" s="57"/>
      <c r="AK45" s="159" t="s">
        <v>702</v>
      </c>
    </row>
    <row r="46" spans="1:37" s="51" customFormat="1" ht="16.5" customHeight="1" x14ac:dyDescent="0.3">
      <c r="A46" s="100" t="s">
        <v>12</v>
      </c>
      <c r="B46" s="157" t="s">
        <v>227</v>
      </c>
      <c r="C46" s="8">
        <v>2</v>
      </c>
      <c r="D46" s="52" t="s">
        <v>312</v>
      </c>
      <c r="E46" s="52" t="str">
        <f t="shared" si="60"/>
        <v>picoap02</v>
      </c>
      <c r="F46" s="9" t="s">
        <v>191</v>
      </c>
      <c r="G46" s="33" t="str">
        <f>VLOOKUP(F46,'Domain별 코드 체계'!$B$5:$J$29,7,0)</f>
        <v>GE21</v>
      </c>
      <c r="H46" s="127" t="s">
        <v>318</v>
      </c>
      <c r="I46" s="10" t="str">
        <f t="shared" si="46"/>
        <v>P-GE21-O</v>
      </c>
      <c r="J46" s="131" t="s">
        <v>308</v>
      </c>
      <c r="K46" s="157">
        <v>1</v>
      </c>
      <c r="L46" s="57" t="str">
        <f t="shared" si="47"/>
        <v>P-GE21-O-S21</v>
      </c>
      <c r="M46" s="57" t="str">
        <f t="shared" si="48"/>
        <v>P-GE21-O-A11</v>
      </c>
      <c r="N46" s="57">
        <f t="shared" si="49"/>
        <v>1024</v>
      </c>
      <c r="O46" s="57">
        <f t="shared" si="50"/>
        <v>256</v>
      </c>
      <c r="P46" s="57">
        <f t="shared" si="51"/>
        <v>256</v>
      </c>
      <c r="Q46" s="57">
        <f t="shared" si="52"/>
        <v>256</v>
      </c>
      <c r="R46" s="57">
        <f t="shared" si="53"/>
        <v>256</v>
      </c>
      <c r="S46" s="157" t="s">
        <v>80</v>
      </c>
      <c r="T46" s="57" t="str">
        <f t="shared" si="12"/>
        <v>/was/jboss7/domains/P-GE21-O/P-GE21-O-S21</v>
      </c>
      <c r="U46" s="57" t="str">
        <f t="shared" si="58"/>
        <v>/ge2/ge21/wasApp</v>
      </c>
      <c r="V46" s="57" t="str">
        <f t="shared" si="54"/>
        <v>/log/jboss7/P-GE21-O/P-GE21-O-S21</v>
      </c>
      <c r="W46" s="157" t="s">
        <v>86</v>
      </c>
      <c r="X46" s="13" t="s">
        <v>87</v>
      </c>
      <c r="Y46" s="13">
        <v>9998</v>
      </c>
      <c r="Z46" s="57" t="str">
        <f>"http://40.10.22.156:"&amp;VLOOKUP(L46,'WAS Instance'!$M$7:$T$98,6,0)&amp;"/console"</f>
        <v>http://40.10.22.156:14329/console</v>
      </c>
      <c r="AA46" s="57"/>
      <c r="AB46" s="170"/>
      <c r="AC46" s="162" t="str">
        <f t="shared" si="14"/>
        <v>/web/jws3/domains/P-GE21-O/P-GE21-O-S21</v>
      </c>
      <c r="AD46" s="57" t="str">
        <f t="shared" si="59"/>
        <v>/ge2/ge21/webApp</v>
      </c>
      <c r="AE46" s="57" t="str">
        <f t="shared" si="13"/>
        <v>/log/jws3/P-GE21-O/P-GE21-O-S21</v>
      </c>
      <c r="AF46" s="157" t="s">
        <v>86</v>
      </c>
      <c r="AG46" s="13" t="s">
        <v>87</v>
      </c>
      <c r="AH46" s="13">
        <v>9998</v>
      </c>
      <c r="AI46" s="160" t="s">
        <v>419</v>
      </c>
      <c r="AJ46" s="57"/>
      <c r="AK46" s="159" t="s">
        <v>702</v>
      </c>
    </row>
    <row r="47" spans="1:37" s="51" customFormat="1" ht="16.5" customHeight="1" x14ac:dyDescent="0.3">
      <c r="A47" s="100" t="s">
        <v>12</v>
      </c>
      <c r="B47" s="157" t="s">
        <v>229</v>
      </c>
      <c r="C47" s="8">
        <v>2</v>
      </c>
      <c r="D47" s="52" t="s">
        <v>312</v>
      </c>
      <c r="E47" s="52" t="str">
        <f t="shared" si="60"/>
        <v>picoap02</v>
      </c>
      <c r="F47" s="9" t="s">
        <v>192</v>
      </c>
      <c r="G47" s="33" t="str">
        <f>VLOOKUP(F47,'Domain별 코드 체계'!$B$5:$J$29,7,0)</f>
        <v>MS71</v>
      </c>
      <c r="H47" s="126" t="s">
        <v>5</v>
      </c>
      <c r="I47" s="10" t="str">
        <f t="shared" si="46"/>
        <v>P-MS71-O</v>
      </c>
      <c r="J47" s="131" t="s">
        <v>88</v>
      </c>
      <c r="K47" s="157">
        <v>1</v>
      </c>
      <c r="L47" s="57" t="str">
        <f t="shared" si="47"/>
        <v>P-MS71-O-F21</v>
      </c>
      <c r="M47" s="57" t="str">
        <f t="shared" si="48"/>
        <v>P-MS71-O-A11</v>
      </c>
      <c r="N47" s="57">
        <f t="shared" si="49"/>
        <v>2048</v>
      </c>
      <c r="O47" s="57">
        <f t="shared" si="50"/>
        <v>768</v>
      </c>
      <c r="P47" s="57">
        <f t="shared" si="51"/>
        <v>768</v>
      </c>
      <c r="Q47" s="57">
        <f t="shared" si="52"/>
        <v>512</v>
      </c>
      <c r="R47" s="57">
        <f t="shared" si="53"/>
        <v>512</v>
      </c>
      <c r="S47" s="157" t="s">
        <v>80</v>
      </c>
      <c r="T47" s="57" t="str">
        <f t="shared" si="12"/>
        <v>/was/jboss7/domains/P-MS71-O/P-MS71-O-F21</v>
      </c>
      <c r="U47" s="57" t="str">
        <f t="shared" si="58"/>
        <v>/ms7/ms71/wasApp</v>
      </c>
      <c r="V47" s="57" t="str">
        <f t="shared" si="54"/>
        <v>/log/jboss7/P-MS71-O/P-MS71-O-F21</v>
      </c>
      <c r="W47" s="157" t="s">
        <v>86</v>
      </c>
      <c r="X47" s="13" t="s">
        <v>87</v>
      </c>
      <c r="Y47" s="13">
        <v>9998</v>
      </c>
      <c r="Z47" s="57" t="str">
        <f>"http://40.10.22.156:"&amp;VLOOKUP(L47,'WAS Instance'!$M$7:$T$98,6,0)&amp;"/console"</f>
        <v>http://40.10.22.156:14421/console</v>
      </c>
      <c r="AA47" s="57"/>
      <c r="AB47" s="170"/>
      <c r="AC47" s="162" t="str">
        <f t="shared" si="14"/>
        <v>/web/jws3/domains/P-MS71-O/P-MS71-O-F21</v>
      </c>
      <c r="AD47" s="57" t="str">
        <f t="shared" si="59"/>
        <v>/ms7/ms71/webApp</v>
      </c>
      <c r="AE47" s="57" t="str">
        <f t="shared" si="13"/>
        <v>/log/jws3/P-MS71-O/P-MS71-O-F21</v>
      </c>
      <c r="AF47" s="157" t="s">
        <v>86</v>
      </c>
      <c r="AG47" s="13" t="s">
        <v>87</v>
      </c>
      <c r="AH47" s="13">
        <v>9998</v>
      </c>
      <c r="AI47" s="160" t="s">
        <v>419</v>
      </c>
      <c r="AJ47" s="57"/>
      <c r="AK47" s="159" t="s">
        <v>699</v>
      </c>
    </row>
    <row r="48" spans="1:37" s="51" customFormat="1" ht="16.5" customHeight="1" x14ac:dyDescent="0.3">
      <c r="A48" s="100" t="s">
        <v>12</v>
      </c>
      <c r="B48" s="157" t="s">
        <v>229</v>
      </c>
      <c r="C48" s="8">
        <v>2</v>
      </c>
      <c r="D48" s="52" t="s">
        <v>312</v>
      </c>
      <c r="E48" s="52" t="str">
        <f t="shared" si="60"/>
        <v>picoap02</v>
      </c>
      <c r="F48" s="9" t="s">
        <v>192</v>
      </c>
      <c r="G48" s="33" t="str">
        <f>VLOOKUP(F48,'Domain별 코드 체계'!$B$5:$J$29,7,0)</f>
        <v>MS71</v>
      </c>
      <c r="H48" s="126" t="s">
        <v>5</v>
      </c>
      <c r="I48" s="10" t="str">
        <f t="shared" si="46"/>
        <v>P-MS71-O</v>
      </c>
      <c r="J48" s="131" t="s">
        <v>88</v>
      </c>
      <c r="K48" s="157">
        <v>2</v>
      </c>
      <c r="L48" s="199" t="str">
        <f t="shared" si="47"/>
        <v>P-MS71-O-F22</v>
      </c>
      <c r="M48" s="199" t="str">
        <f t="shared" si="48"/>
        <v>P-MS71-O-A11</v>
      </c>
      <c r="N48" s="199">
        <f t="shared" si="49"/>
        <v>2048</v>
      </c>
      <c r="O48" s="199">
        <f t="shared" si="50"/>
        <v>768</v>
      </c>
      <c r="P48" s="199">
        <f t="shared" si="51"/>
        <v>768</v>
      </c>
      <c r="Q48" s="199">
        <f t="shared" si="52"/>
        <v>512</v>
      </c>
      <c r="R48" s="199">
        <f t="shared" si="53"/>
        <v>512</v>
      </c>
      <c r="S48" s="198" t="s">
        <v>80</v>
      </c>
      <c r="T48" s="199" t="str">
        <f t="shared" si="12"/>
        <v>/was/jboss7/domains/P-MS71-O/P-MS71-O-F22</v>
      </c>
      <c r="U48" s="199" t="str">
        <f t="shared" si="58"/>
        <v>/ms7/ms71/wasApp</v>
      </c>
      <c r="V48" s="199" t="str">
        <f t="shared" si="54"/>
        <v>/log/jboss7/P-MS71-O/P-MS71-O-F22</v>
      </c>
      <c r="W48" s="198" t="s">
        <v>86</v>
      </c>
      <c r="X48" s="200" t="s">
        <v>87</v>
      </c>
      <c r="Y48" s="200">
        <v>9998</v>
      </c>
      <c r="Z48" s="199" t="str">
        <f>"http://40.10.22.156:"&amp;VLOOKUP(L48,'WAS Instance'!$M$7:$T$98,6,0)&amp;"/console"</f>
        <v>http://40.10.22.156:14422/console</v>
      </c>
      <c r="AA48" s="57"/>
      <c r="AB48" s="170"/>
      <c r="AC48" s="162" t="str">
        <f t="shared" si="14"/>
        <v>/web/jws3/domains/P-MS71-O/P-MS71-O-F22</v>
      </c>
      <c r="AD48" s="57" t="str">
        <f t="shared" si="59"/>
        <v>/ms7/ms71/webApp</v>
      </c>
      <c r="AE48" s="57" t="str">
        <f t="shared" si="13"/>
        <v>/log/jws3/P-MS71-O/P-MS71-O-F22</v>
      </c>
      <c r="AF48" s="157" t="s">
        <v>86</v>
      </c>
      <c r="AG48" s="13" t="s">
        <v>87</v>
      </c>
      <c r="AH48" s="13">
        <v>9998</v>
      </c>
      <c r="AI48" s="160" t="s">
        <v>419</v>
      </c>
      <c r="AJ48" s="57"/>
      <c r="AK48" s="159" t="s">
        <v>701</v>
      </c>
    </row>
    <row r="49" spans="1:37" s="51" customFormat="1" ht="16.5" customHeight="1" x14ac:dyDescent="0.3">
      <c r="A49" s="100" t="s">
        <v>12</v>
      </c>
      <c r="B49" s="157" t="s">
        <v>225</v>
      </c>
      <c r="C49" s="8">
        <v>2</v>
      </c>
      <c r="D49" s="52" t="s">
        <v>312</v>
      </c>
      <c r="E49" s="52" t="str">
        <f>CONCATENATE(A49,"ico","ap0",C49)</f>
        <v>picoap02</v>
      </c>
      <c r="F49" s="9" t="s">
        <v>212</v>
      </c>
      <c r="G49" s="33" t="str">
        <f>VLOOKUP(F49,'Domain별 코드 체계'!$B$5:$J$29,7,0)</f>
        <v>BIM1</v>
      </c>
      <c r="H49" s="127" t="s">
        <v>318</v>
      </c>
      <c r="I49" s="10" t="str">
        <f>CONCATENATE(UPPER(IF(A49="d","P",A49)),"-",G49,"-",H49)</f>
        <v>P-BIM1-O</v>
      </c>
      <c r="J49" s="131" t="s">
        <v>319</v>
      </c>
      <c r="K49" s="157">
        <v>1</v>
      </c>
      <c r="L49" s="57" t="str">
        <f>CONCATENATE(I49,"-",J49,C49,K49)</f>
        <v>P-BIM1-O-F21</v>
      </c>
      <c r="M49" s="57" t="str">
        <f>IF(J49="A","",CONCATENATE(I49,"-A11"))</f>
        <v>P-BIM1-O-A11</v>
      </c>
      <c r="N49" s="57">
        <f>IF(J49="A",512,IF(J49="F",2048,IF(J49="S",1024)))</f>
        <v>2048</v>
      </c>
      <c r="O49" s="57">
        <f>IF(J49="A","",IF(J49="F",(N49/16)*6,IF(J49="S",N49/4)))</f>
        <v>768</v>
      </c>
      <c r="P49" s="57">
        <f>O49</f>
        <v>768</v>
      </c>
      <c r="Q49" s="57">
        <f>IF(J49="A","",IF(J49="F",(N49/16)*4,IF(J49="S",N49/4)))</f>
        <v>512</v>
      </c>
      <c r="R49" s="57">
        <f>Q49</f>
        <v>512</v>
      </c>
      <c r="S49" s="157" t="s">
        <v>80</v>
      </c>
      <c r="T49" s="57" t="str">
        <f>CONCATENATE("/was/jboss7/domains/",I49,"/",L49)</f>
        <v>/was/jboss7/domains/P-BIM1-O/P-BIM1-O-F21</v>
      </c>
      <c r="U49" s="57" t="str">
        <f>CONCATENATE("/",LOWER(B49),"/",LOWER(LEFT(G49,4)),"/wasApp")</f>
        <v>/bim/bim1/wasApp</v>
      </c>
      <c r="V49" s="57" t="str">
        <f>CONCATENATE("/log/jboss7/",I49,"/",L49)</f>
        <v>/log/jboss7/P-BIM1-O/P-BIM1-O-F21</v>
      </c>
      <c r="W49" s="157" t="s">
        <v>86</v>
      </c>
      <c r="X49" s="13" t="s">
        <v>87</v>
      </c>
      <c r="Y49" s="13">
        <v>9998</v>
      </c>
      <c r="Z49" s="57" t="str">
        <f>"http://40.10.22.156:"&amp;VLOOKUP(L49,'WAS Instance'!$M$7:$T$98,6,0)&amp;"/console"</f>
        <v>http://40.10.22.156:15011/console</v>
      </c>
      <c r="AA49" s="57"/>
      <c r="AB49" s="170"/>
      <c r="AC49" s="162" t="str">
        <f>CONCATENATE("/web/jws3/domains/",I49,"/",L49)</f>
        <v>/web/jws3/domains/P-BIM1-O/P-BIM1-O-F21</v>
      </c>
      <c r="AD49" s="57" t="str">
        <f>CONCATENATE("/",LOWER(B49),"/",LOWER(LEFT(G49,4)),"/webApp")</f>
        <v>/bim/bim1/webApp</v>
      </c>
      <c r="AE49" s="57" t="str">
        <f>CONCATENATE("/log/jws3/",I49,"/",L49)</f>
        <v>/log/jws3/P-BIM1-O/P-BIM1-O-F21</v>
      </c>
      <c r="AF49" s="157" t="s">
        <v>86</v>
      </c>
      <c r="AG49" s="13" t="s">
        <v>87</v>
      </c>
      <c r="AH49" s="13">
        <v>9998</v>
      </c>
      <c r="AI49" s="160" t="s">
        <v>419</v>
      </c>
      <c r="AJ49" s="57"/>
      <c r="AK49" s="159" t="s">
        <v>702</v>
      </c>
    </row>
    <row r="50" spans="1:37" s="51" customFormat="1" ht="16.5" customHeight="1" x14ac:dyDescent="0.3">
      <c r="A50" s="100" t="s">
        <v>12</v>
      </c>
      <c r="B50" s="157" t="s">
        <v>225</v>
      </c>
      <c r="C50" s="8">
        <v>2</v>
      </c>
      <c r="D50" s="52" t="s">
        <v>312</v>
      </c>
      <c r="E50" s="52" t="str">
        <f>CONCATENATE(A50,"ico","ap0",C50)</f>
        <v>picoap02</v>
      </c>
      <c r="F50" s="9" t="s">
        <v>212</v>
      </c>
      <c r="G50" s="33" t="str">
        <f>VLOOKUP(F50,'Domain별 코드 체계'!$B$5:$J$29,7,0)</f>
        <v>BIM1</v>
      </c>
      <c r="H50" s="127" t="s">
        <v>318</v>
      </c>
      <c r="I50" s="10" t="str">
        <f>CONCATENATE(UPPER(IF(A50="d","P",A50)),"-",G50,"-",H50)</f>
        <v>P-BIM1-O</v>
      </c>
      <c r="J50" s="131" t="s">
        <v>319</v>
      </c>
      <c r="K50" s="157">
        <v>2</v>
      </c>
      <c r="L50" s="199" t="str">
        <f>CONCATENATE(I50,"-",J50,C50,K50)</f>
        <v>P-BIM1-O-F22</v>
      </c>
      <c r="M50" s="199" t="str">
        <f>IF(J50="A","",CONCATENATE(I50,"-A11"))</f>
        <v>P-BIM1-O-A11</v>
      </c>
      <c r="N50" s="199">
        <f>IF(J50="A",512,IF(J50="F",2048,IF(J50="S",1024)))</f>
        <v>2048</v>
      </c>
      <c r="O50" s="199">
        <f>IF(J50="A","",IF(J50="F",(N50/16)*6,IF(J50="S",N50/4)))</f>
        <v>768</v>
      </c>
      <c r="P50" s="199">
        <f>O50</f>
        <v>768</v>
      </c>
      <c r="Q50" s="199">
        <f>IF(J50="A","",IF(J50="F",(N50/16)*4,IF(J50="S",N50/4)))</f>
        <v>512</v>
      </c>
      <c r="R50" s="199">
        <f>Q50</f>
        <v>512</v>
      </c>
      <c r="S50" s="198" t="s">
        <v>80</v>
      </c>
      <c r="T50" s="199" t="str">
        <f>CONCATENATE("/was/jboss7/domains/",I50,"/",L50)</f>
        <v>/was/jboss7/domains/P-BIM1-O/P-BIM1-O-F22</v>
      </c>
      <c r="U50" s="199" t="str">
        <f>CONCATENATE("/",LOWER(B50),"/",LOWER(LEFT(G50,4)),"/wasApp")</f>
        <v>/bim/bim1/wasApp</v>
      </c>
      <c r="V50" s="199" t="str">
        <f>CONCATENATE("/log/jboss7/",I50,"/",L50)</f>
        <v>/log/jboss7/P-BIM1-O/P-BIM1-O-F22</v>
      </c>
      <c r="W50" s="198" t="s">
        <v>86</v>
      </c>
      <c r="X50" s="200" t="s">
        <v>87</v>
      </c>
      <c r="Y50" s="200">
        <v>9998</v>
      </c>
      <c r="Z50" s="199" t="str">
        <f>"http://40.10.22.156:"&amp;VLOOKUP(L50,'WAS Instance'!$M$7:$T$98,6,0)&amp;"/console"</f>
        <v>http://40.10.22.156:15012/console</v>
      </c>
      <c r="AA50" s="57"/>
      <c r="AB50" s="170"/>
      <c r="AC50" s="162" t="str">
        <f>CONCATENATE("/web/jws3/domains/",I50,"/",L50)</f>
        <v>/web/jws3/domains/P-BIM1-O/P-BIM1-O-F22</v>
      </c>
      <c r="AD50" s="57" t="str">
        <f>CONCATENATE("/",LOWER(B50),"/",LOWER(LEFT(G50,4)),"/webApp")</f>
        <v>/bim/bim1/webApp</v>
      </c>
      <c r="AE50" s="57" t="str">
        <f>CONCATENATE("/log/jws3/",I50,"/",L50)</f>
        <v>/log/jws3/P-BIM1-O/P-BIM1-O-F22</v>
      </c>
      <c r="AF50" s="157" t="s">
        <v>86</v>
      </c>
      <c r="AG50" s="13" t="s">
        <v>87</v>
      </c>
      <c r="AH50" s="13">
        <v>9998</v>
      </c>
      <c r="AI50" s="160" t="s">
        <v>419</v>
      </c>
      <c r="AJ50" s="57"/>
      <c r="AK50" s="159" t="s">
        <v>702</v>
      </c>
    </row>
    <row r="51" spans="1:37" s="51" customFormat="1" ht="16.5" customHeight="1" x14ac:dyDescent="0.3">
      <c r="A51" s="100" t="s">
        <v>12</v>
      </c>
      <c r="B51" s="157" t="s">
        <v>231</v>
      </c>
      <c r="C51" s="8">
        <v>2</v>
      </c>
      <c r="D51" s="52" t="s">
        <v>312</v>
      </c>
      <c r="E51" s="52" t="str">
        <f t="shared" si="60"/>
        <v>picoap02</v>
      </c>
      <c r="F51" s="9" t="s">
        <v>304</v>
      </c>
      <c r="G51" s="33" t="str">
        <f>VLOOKUP(F51,'Domain별 코드 체계'!$B$5:$J$29,7,0)</f>
        <v>WO11</v>
      </c>
      <c r="H51" s="127" t="s">
        <v>318</v>
      </c>
      <c r="I51" s="10" t="str">
        <f t="shared" si="46"/>
        <v>P-WO11-O</v>
      </c>
      <c r="J51" s="131" t="s">
        <v>319</v>
      </c>
      <c r="K51" s="157">
        <v>1</v>
      </c>
      <c r="L51" s="57" t="str">
        <f t="shared" si="47"/>
        <v>P-WO11-O-F21</v>
      </c>
      <c r="M51" s="57" t="str">
        <f t="shared" si="48"/>
        <v>P-WO11-O-A11</v>
      </c>
      <c r="N51" s="57">
        <f t="shared" si="49"/>
        <v>2048</v>
      </c>
      <c r="O51" s="57">
        <f t="shared" si="50"/>
        <v>768</v>
      </c>
      <c r="P51" s="57">
        <f t="shared" si="51"/>
        <v>768</v>
      </c>
      <c r="Q51" s="57">
        <f t="shared" si="52"/>
        <v>512</v>
      </c>
      <c r="R51" s="57">
        <f t="shared" si="53"/>
        <v>512</v>
      </c>
      <c r="S51" s="157" t="s">
        <v>80</v>
      </c>
      <c r="T51" s="57" t="str">
        <f t="shared" si="12"/>
        <v>/was/jboss7/domains/P-WO11-O/P-WO11-O-F21</v>
      </c>
      <c r="U51" s="57" t="str">
        <f t="shared" si="58"/>
        <v>/wo1/wo11/wasApp</v>
      </c>
      <c r="V51" s="57" t="str">
        <f t="shared" si="54"/>
        <v>/log/jboss7/P-WO11-O/P-WO11-O-F21</v>
      </c>
      <c r="W51" s="157" t="s">
        <v>86</v>
      </c>
      <c r="X51" s="13" t="s">
        <v>87</v>
      </c>
      <c r="Y51" s="13">
        <v>9998</v>
      </c>
      <c r="Z51" s="57" t="str">
        <f>"http://40.10.22.156:"&amp;VLOOKUP(L51,'WAS Instance'!$M$7:$T$98,6,0)&amp;"/console"</f>
        <v>http://40.10.22.156:15111/console</v>
      </c>
      <c r="AA51" s="57"/>
      <c r="AB51" s="170"/>
      <c r="AC51" s="162" t="str">
        <f t="shared" si="14"/>
        <v>/web/jws3/domains/P-WO11-O/P-WO11-O-F21</v>
      </c>
      <c r="AD51" s="57" t="str">
        <f>CONCATENATE("/",LOWER(B51),"/",LOWER(LEFT(G51,4)),"/webApp")</f>
        <v>/wo1/wo11/webApp</v>
      </c>
      <c r="AE51" s="57" t="str">
        <f t="shared" si="13"/>
        <v>/log/jws3/P-WO11-O/P-WO11-O-F21</v>
      </c>
      <c r="AF51" s="157" t="s">
        <v>86</v>
      </c>
      <c r="AG51" s="13" t="s">
        <v>87</v>
      </c>
      <c r="AH51" s="13">
        <v>9998</v>
      </c>
      <c r="AI51" s="160" t="s">
        <v>419</v>
      </c>
      <c r="AJ51" s="57"/>
      <c r="AK51" s="159" t="s">
        <v>702</v>
      </c>
    </row>
    <row r="52" spans="1:37" s="51" customFormat="1" ht="16.5" customHeight="1" x14ac:dyDescent="0.3">
      <c r="A52" s="100" t="s">
        <v>12</v>
      </c>
      <c r="B52" s="157" t="s">
        <v>231</v>
      </c>
      <c r="C52" s="8">
        <v>2</v>
      </c>
      <c r="D52" s="52" t="s">
        <v>312</v>
      </c>
      <c r="E52" s="52" t="str">
        <f t="shared" si="60"/>
        <v>picoap02</v>
      </c>
      <c r="F52" s="9" t="s">
        <v>290</v>
      </c>
      <c r="G52" s="33" t="str">
        <f>VLOOKUP(F52,'Domain별 코드 체계'!$B$5:$J$29,7,0)</f>
        <v>WO12</v>
      </c>
      <c r="H52" s="127" t="s">
        <v>318</v>
      </c>
      <c r="I52" s="10" t="str">
        <f t="shared" si="46"/>
        <v>P-WO12-O</v>
      </c>
      <c r="J52" s="131" t="s">
        <v>308</v>
      </c>
      <c r="K52" s="157">
        <v>1</v>
      </c>
      <c r="L52" s="57" t="str">
        <f t="shared" si="47"/>
        <v>P-WO12-O-S21</v>
      </c>
      <c r="M52" s="57" t="str">
        <f t="shared" si="48"/>
        <v>P-WO12-O-A11</v>
      </c>
      <c r="N52" s="57">
        <f t="shared" si="49"/>
        <v>1024</v>
      </c>
      <c r="O52" s="57">
        <f t="shared" si="50"/>
        <v>256</v>
      </c>
      <c r="P52" s="57">
        <f t="shared" si="51"/>
        <v>256</v>
      </c>
      <c r="Q52" s="57">
        <f t="shared" si="52"/>
        <v>256</v>
      </c>
      <c r="R52" s="57">
        <f t="shared" si="53"/>
        <v>256</v>
      </c>
      <c r="S52" s="157" t="s">
        <v>80</v>
      </c>
      <c r="T52" s="57" t="str">
        <f t="shared" si="12"/>
        <v>/was/jboss7/domains/P-WO12-O/P-WO12-O-S21</v>
      </c>
      <c r="U52" s="57" t="str">
        <f t="shared" si="58"/>
        <v>/wo1/wo12/wasApp</v>
      </c>
      <c r="V52" s="57" t="str">
        <f t="shared" si="54"/>
        <v>/log/jboss7/P-WO12-O/P-WO12-O-S21</v>
      </c>
      <c r="W52" s="157" t="s">
        <v>86</v>
      </c>
      <c r="X52" s="13" t="s">
        <v>87</v>
      </c>
      <c r="Y52" s="13">
        <v>9998</v>
      </c>
      <c r="Z52" s="57" t="str">
        <f>"http://40.10.22.156:"&amp;VLOOKUP(L52,'WAS Instance'!$M$7:$T$98,6,0)&amp;"/console"</f>
        <v>http://40.10.22.156:15129/console</v>
      </c>
      <c r="AA52" s="57"/>
      <c r="AB52" s="170"/>
      <c r="AC52" s="162" t="str">
        <f t="shared" si="14"/>
        <v>/web/jws3/domains/P-WO12-O/P-WO12-O-S21</v>
      </c>
      <c r="AD52" s="57" t="str">
        <f t="shared" si="59"/>
        <v>/wo1/wo12/webApp</v>
      </c>
      <c r="AE52" s="57" t="str">
        <f t="shared" si="13"/>
        <v>/log/jws3/P-WO12-O/P-WO12-O-S21</v>
      </c>
      <c r="AF52" s="157" t="s">
        <v>86</v>
      </c>
      <c r="AG52" s="13" t="s">
        <v>87</v>
      </c>
      <c r="AH52" s="13">
        <v>9998</v>
      </c>
      <c r="AI52" s="160" t="s">
        <v>419</v>
      </c>
      <c r="AJ52" s="57"/>
      <c r="AK52" s="159" t="s">
        <v>702</v>
      </c>
    </row>
    <row r="53" spans="1:37" s="51" customFormat="1" ht="16.5" customHeight="1" thickBot="1" x14ac:dyDescent="0.35">
      <c r="A53" s="102" t="s">
        <v>12</v>
      </c>
      <c r="B53" s="108" t="s">
        <v>231</v>
      </c>
      <c r="C53" s="103">
        <v>2</v>
      </c>
      <c r="D53" s="104" t="s">
        <v>312</v>
      </c>
      <c r="E53" s="104" t="str">
        <f t="shared" si="60"/>
        <v>picoap02</v>
      </c>
      <c r="F53" s="105" t="s">
        <v>291</v>
      </c>
      <c r="G53" s="106" t="str">
        <f>VLOOKUP(F53,'Domain별 코드 체계'!$B$5:$J$29,7,0)</f>
        <v>WO13</v>
      </c>
      <c r="H53" s="129" t="s">
        <v>318</v>
      </c>
      <c r="I53" s="107" t="str">
        <f t="shared" si="46"/>
        <v>P-WO13-O</v>
      </c>
      <c r="J53" s="132" t="s">
        <v>308</v>
      </c>
      <c r="K53" s="79">
        <v>1</v>
      </c>
      <c r="L53" s="109" t="str">
        <f t="shared" si="47"/>
        <v>P-WO13-O-S21</v>
      </c>
      <c r="M53" s="109" t="str">
        <f t="shared" si="48"/>
        <v>P-WO13-O-A11</v>
      </c>
      <c r="N53" s="109">
        <f t="shared" si="49"/>
        <v>1024</v>
      </c>
      <c r="O53" s="109">
        <f t="shared" si="50"/>
        <v>256</v>
      </c>
      <c r="P53" s="109">
        <f t="shared" si="51"/>
        <v>256</v>
      </c>
      <c r="Q53" s="109">
        <f t="shared" si="52"/>
        <v>256</v>
      </c>
      <c r="R53" s="109">
        <f t="shared" si="53"/>
        <v>256</v>
      </c>
      <c r="S53" s="108" t="s">
        <v>80</v>
      </c>
      <c r="T53" s="109" t="str">
        <f t="shared" si="12"/>
        <v>/was/jboss7/domains/P-WO13-O/P-WO13-O-S21</v>
      </c>
      <c r="U53" s="109" t="str">
        <f>CONCATENATE("/",LOWER(B53),"/",LOWER(LEFT(G53,4)),"/wasApp")</f>
        <v>/wo1/wo13/wasApp</v>
      </c>
      <c r="V53" s="109" t="str">
        <f t="shared" si="54"/>
        <v>/log/jboss7/P-WO13-O/P-WO13-O-S21</v>
      </c>
      <c r="W53" s="108" t="s">
        <v>86</v>
      </c>
      <c r="X53" s="111" t="s">
        <v>87</v>
      </c>
      <c r="Y53" s="111">
        <v>9998</v>
      </c>
      <c r="Z53" s="109" t="str">
        <f>"http://40.10.22.156:"&amp;VLOOKUP(L53,'WAS Instance'!$M$7:$T$98,6,0)&amp;"/console"</f>
        <v>http://40.10.22.156:15139/console</v>
      </c>
      <c r="AA53" s="109"/>
      <c r="AB53" s="177"/>
      <c r="AC53" s="167" t="str">
        <f t="shared" si="14"/>
        <v>/web/jws3/domains/P-WO13-O/P-WO13-O-S21</v>
      </c>
      <c r="AD53" s="109" t="str">
        <f>CONCATENATE("/",LOWER(B53),"/",LOWER(LEFT(G53,4)),"/webApp")</f>
        <v>/wo1/wo13/webApp</v>
      </c>
      <c r="AE53" s="109" t="str">
        <f t="shared" si="13"/>
        <v>/log/jws3/P-WO13-O/P-WO13-O-S21</v>
      </c>
      <c r="AF53" s="108" t="s">
        <v>86</v>
      </c>
      <c r="AG53" s="111" t="s">
        <v>87</v>
      </c>
      <c r="AH53" s="111">
        <v>9998</v>
      </c>
      <c r="AI53" s="108" t="s">
        <v>419</v>
      </c>
      <c r="AJ53" s="109"/>
      <c r="AK53" s="257" t="s">
        <v>702</v>
      </c>
    </row>
    <row r="54" spans="1:37" s="74" customFormat="1" ht="4.5" customHeight="1" thickBot="1" x14ac:dyDescent="0.35">
      <c r="A54" s="83"/>
      <c r="B54" s="83"/>
      <c r="C54" s="83"/>
      <c r="D54" s="84"/>
      <c r="E54" s="84"/>
      <c r="F54" s="85"/>
      <c r="G54" s="86"/>
      <c r="H54" s="84"/>
      <c r="I54" s="83"/>
      <c r="J54" s="83"/>
      <c r="K54" s="83"/>
      <c r="L54" s="84"/>
      <c r="M54" s="84"/>
      <c r="N54" s="84"/>
      <c r="O54" s="84"/>
      <c r="P54" s="84"/>
      <c r="Q54" s="84"/>
      <c r="R54" s="84"/>
      <c r="S54" s="83"/>
      <c r="T54" s="84" t="str">
        <f t="shared" ref="T54:T59" si="61">CONCATENATE("/log/jboss7/domains/",I54,"/",L54)</f>
        <v>/log/jboss7/domains//</v>
      </c>
      <c r="U54" s="84"/>
      <c r="V54" s="84"/>
      <c r="W54" s="83"/>
      <c r="X54" s="88"/>
      <c r="Y54" s="88"/>
      <c r="Z54" s="84" t="e">
        <f>"http://40.10.22.156:"&amp;VLOOKUP(L54,'WAS Instance'!$M$7:$T$98,6,0)&amp;"/console"</f>
        <v>#N/A</v>
      </c>
      <c r="AA54" s="84"/>
      <c r="AB54" s="175"/>
      <c r="AC54" s="166" t="str">
        <f t="shared" si="14"/>
        <v>/web/jws3/domains//</v>
      </c>
      <c r="AD54" s="84" t="str">
        <f t="shared" si="45"/>
        <v>///webApps</v>
      </c>
      <c r="AE54" s="84" t="str">
        <f t="shared" si="13"/>
        <v>/log/jws3//</v>
      </c>
      <c r="AF54" s="83"/>
      <c r="AG54" s="88"/>
      <c r="AH54" s="88"/>
      <c r="AI54" s="83" t="s">
        <v>419</v>
      </c>
      <c r="AJ54" s="84"/>
      <c r="AK54" s="84"/>
    </row>
    <row r="55" spans="1:37" s="51" customFormat="1" ht="16.5" customHeight="1" x14ac:dyDescent="0.3">
      <c r="A55" s="89" t="s">
        <v>12</v>
      </c>
      <c r="B55" s="90" t="s">
        <v>233</v>
      </c>
      <c r="C55" s="90">
        <v>1</v>
      </c>
      <c r="D55" s="91" t="s">
        <v>316</v>
      </c>
      <c r="E55" s="91" t="str">
        <f>CONCATENATE(A55,"int","ap0",C55)</f>
        <v>pintap01</v>
      </c>
      <c r="F55" s="92" t="s">
        <v>196</v>
      </c>
      <c r="G55" s="93" t="str">
        <f>VLOOKUP(F55,'Domain별 코드 체계'!$B$5:$J$29,7,0)</f>
        <v>PS91</v>
      </c>
      <c r="H55" s="128" t="s">
        <v>318</v>
      </c>
      <c r="I55" s="94" t="str">
        <f t="shared" ref="I55:I58" si="62">CONCATENATE(UPPER(IF(A55="d","P",A55)),"-",G55,"-",H55)</f>
        <v>P-PS91-O</v>
      </c>
      <c r="J55" s="133" t="s">
        <v>319</v>
      </c>
      <c r="K55" s="95">
        <v>1</v>
      </c>
      <c r="L55" s="96" t="str">
        <f>CONCATENATE(I55,"-",J55,C55,K55)</f>
        <v>P-PS91-O-F11</v>
      </c>
      <c r="M55" s="96" t="str">
        <f>IF(J55="A","",CONCATENATE(I55,"-A11"))</f>
        <v>P-PS91-O-A11</v>
      </c>
      <c r="N55" s="96">
        <f>IF(J55="A",512,IF(J55="F",2048,IF(J55="S",1024)))</f>
        <v>2048</v>
      </c>
      <c r="O55" s="96">
        <f>IF(J55="A","",IF(J55="F",(N55/16)*6,IF(J55="S",N55/4)))</f>
        <v>768</v>
      </c>
      <c r="P55" s="96">
        <f>O55</f>
        <v>768</v>
      </c>
      <c r="Q55" s="96">
        <f>IF(J55="A","",IF(J55="F",(N55/16)*4,IF(J55="S",N55/4)))</f>
        <v>512</v>
      </c>
      <c r="R55" s="96">
        <f>Q55</f>
        <v>512</v>
      </c>
      <c r="S55" s="95" t="s">
        <v>80</v>
      </c>
      <c r="T55" s="57" t="str">
        <f>CONCATENATE("/was/jboss7/domains/",I55,"/",L55)</f>
        <v>/was/jboss7/domains/P-PS91-O/P-PS91-O-F11</v>
      </c>
      <c r="U55" s="57" t="str">
        <f>CONCATENATE("/",LOWER(B55),"/",LOWER(LEFT(G55,4)),"/wasApp")</f>
        <v>/ps9/ps91/wasApp</v>
      </c>
      <c r="V55" s="96" t="str">
        <f>CONCATENATE("/log/jboss7/",I55,"/",L55)</f>
        <v>/log/jboss7/P-PS91-O/P-PS91-O-F11</v>
      </c>
      <c r="W55" s="95" t="s">
        <v>86</v>
      </c>
      <c r="X55" s="98" t="s">
        <v>87</v>
      </c>
      <c r="Y55" s="98">
        <v>9998</v>
      </c>
      <c r="Z55" s="96" t="str">
        <f>"http://40.10.22.156:"&amp;VLOOKUP(L55,'WAS Instance'!$M$7:$T$98,6,0)&amp;"/console"</f>
        <v>http://40.10.22.156:15021/console</v>
      </c>
      <c r="AA55" s="96"/>
      <c r="AB55" s="176"/>
      <c r="AC55" s="162" t="str">
        <f t="shared" si="14"/>
        <v>/web/jws3/domains/P-PS91-O/P-PS91-O-F11</v>
      </c>
      <c r="AD55" s="57" t="str">
        <f>CONCATENATE("/",LOWER(B55),"/",LOWER(LEFT(G55,4)),"/webApp")</f>
        <v>/ps9/ps91/webApp</v>
      </c>
      <c r="AE55" s="57" t="str">
        <f t="shared" si="13"/>
        <v>/log/jws3/P-PS91-O/P-PS91-O-F11</v>
      </c>
      <c r="AF55" s="95" t="s">
        <v>86</v>
      </c>
      <c r="AG55" s="98" t="s">
        <v>87</v>
      </c>
      <c r="AH55" s="98">
        <v>9998</v>
      </c>
      <c r="AI55" s="95" t="s">
        <v>419</v>
      </c>
      <c r="AJ55" s="96"/>
      <c r="AK55" s="256" t="s">
        <v>702</v>
      </c>
    </row>
    <row r="56" spans="1:37" s="51" customFormat="1" ht="16.5" customHeight="1" thickBot="1" x14ac:dyDescent="0.35">
      <c r="A56" s="102" t="s">
        <v>12</v>
      </c>
      <c r="B56" s="103" t="s">
        <v>362</v>
      </c>
      <c r="C56" s="103">
        <v>1</v>
      </c>
      <c r="D56" s="104" t="s">
        <v>316</v>
      </c>
      <c r="E56" s="104" t="str">
        <f>CONCATENATE(A56,"int","ap0",C56)</f>
        <v>pintap01</v>
      </c>
      <c r="F56" s="105" t="s">
        <v>320</v>
      </c>
      <c r="G56" s="106" t="str">
        <f>VLOOKUP(F56,'Domain별 코드 체계'!$B$5:$J$29,7,0)</f>
        <v>VMS1</v>
      </c>
      <c r="H56" s="129" t="s">
        <v>318</v>
      </c>
      <c r="I56" s="107" t="str">
        <f t="shared" si="62"/>
        <v>P-VMS1-O</v>
      </c>
      <c r="J56" s="134" t="s">
        <v>319</v>
      </c>
      <c r="K56" s="108">
        <v>1</v>
      </c>
      <c r="L56" s="109" t="str">
        <f t="shared" ref="L56" si="63">CONCATENATE(I56,"-",J56,C56,K56)</f>
        <v>P-VMS1-O-F11</v>
      </c>
      <c r="M56" s="109" t="str">
        <f>IF(J56="A","",CONCATENATE(I56,"-A11"))</f>
        <v>P-VMS1-O-A11</v>
      </c>
      <c r="N56" s="109">
        <f>IF(J56="A",512,IF(J56="F",2048,IF(J56="S",1024)))</f>
        <v>2048</v>
      </c>
      <c r="O56" s="109">
        <f>IF(J56="A","",IF(J56="F",(N56/16)*6,IF(J56="S",N56/4)))</f>
        <v>768</v>
      </c>
      <c r="P56" s="109">
        <f>O56</f>
        <v>768</v>
      </c>
      <c r="Q56" s="109">
        <f>IF(J56="A","",IF(J56="F",(N56/16)*4,IF(J56="S",N56/4)))</f>
        <v>512</v>
      </c>
      <c r="R56" s="109">
        <f>Q56</f>
        <v>512</v>
      </c>
      <c r="S56" s="108" t="s">
        <v>80</v>
      </c>
      <c r="T56" s="109" t="str">
        <f t="shared" ref="T56:T58" si="64">CONCATENATE("/was/jboss7/domains/",I56,"/",L56)</f>
        <v>/was/jboss7/domains/P-VMS1-O/P-VMS1-O-F11</v>
      </c>
      <c r="U56" s="109" t="str">
        <f>CONCATENATE("/",LOWER(B56),"/",LOWER(LEFT(G56,4)),"/wasApp")</f>
        <v>/vms/vms1/wasApp</v>
      </c>
      <c r="V56" s="109" t="str">
        <f>CONCATENATE("/log/jboss7/",I56,"/",L56)</f>
        <v>/log/jboss7/P-VMS1-O/P-VMS1-O-F11</v>
      </c>
      <c r="W56" s="108" t="s">
        <v>86</v>
      </c>
      <c r="X56" s="111" t="s">
        <v>87</v>
      </c>
      <c r="Y56" s="111">
        <v>9998</v>
      </c>
      <c r="Z56" s="109" t="str">
        <f>"http://40.10.22.156:"&amp;VLOOKUP(L56,'WAS Instance'!$M$7:$T$98,6,0)&amp;"/console"</f>
        <v>http://40.10.22.156:15121/console</v>
      </c>
      <c r="AA56" s="109"/>
      <c r="AB56" s="177"/>
      <c r="AC56" s="167" t="str">
        <f t="shared" si="14"/>
        <v>/web/jws3/domains/P-VMS1-O/P-VMS1-O-F11</v>
      </c>
      <c r="AD56" s="109" t="str">
        <f>CONCATENATE("/",LOWER(B56),"/",LOWER(LEFT(G56,4)),"/webApp")</f>
        <v>/vms/vms1/webApp</v>
      </c>
      <c r="AE56" s="109" t="str">
        <f t="shared" si="13"/>
        <v>/log/jws3/P-VMS1-O/P-VMS1-O-F11</v>
      </c>
      <c r="AF56" s="108" t="s">
        <v>86</v>
      </c>
      <c r="AG56" s="111" t="s">
        <v>87</v>
      </c>
      <c r="AH56" s="111">
        <v>9998</v>
      </c>
      <c r="AI56" s="108" t="s">
        <v>419</v>
      </c>
      <c r="AJ56" s="109"/>
      <c r="AK56" s="257" t="s">
        <v>702</v>
      </c>
    </row>
    <row r="57" spans="1:37" s="51" customFormat="1" ht="16.5" customHeight="1" x14ac:dyDescent="0.3">
      <c r="A57" s="89" t="s">
        <v>12</v>
      </c>
      <c r="B57" s="90" t="s">
        <v>233</v>
      </c>
      <c r="C57" s="90">
        <v>2</v>
      </c>
      <c r="D57" s="91" t="s">
        <v>322</v>
      </c>
      <c r="E57" s="91" t="str">
        <f>CONCATENATE(A57,"int","ap0",C57)</f>
        <v>pintap02</v>
      </c>
      <c r="F57" s="92" t="s">
        <v>196</v>
      </c>
      <c r="G57" s="93" t="str">
        <f>VLOOKUP(F57,'Domain별 코드 체계'!$B$5:$J$29,7,0)</f>
        <v>PS91</v>
      </c>
      <c r="H57" s="128" t="s">
        <v>318</v>
      </c>
      <c r="I57" s="94" t="str">
        <f t="shared" si="62"/>
        <v>P-PS91-O</v>
      </c>
      <c r="J57" s="133" t="s">
        <v>319</v>
      </c>
      <c r="K57" s="95">
        <v>1</v>
      </c>
      <c r="L57" s="96" t="str">
        <f>CONCATENATE(I57,"-",J57,C57,K57)</f>
        <v>P-PS91-O-F21</v>
      </c>
      <c r="M57" s="96" t="str">
        <f>IF(J57="A","",CONCATENATE(I57,"-A11"))</f>
        <v>P-PS91-O-A11</v>
      </c>
      <c r="N57" s="96">
        <f>IF(J57="A",512,IF(J57="F",2048,IF(J57="S",1024)))</f>
        <v>2048</v>
      </c>
      <c r="O57" s="96">
        <f>IF(J57="A","",IF(J57="F",(N57/16)*6,IF(J57="S",N57/4)))</f>
        <v>768</v>
      </c>
      <c r="P57" s="96">
        <f>O57</f>
        <v>768</v>
      </c>
      <c r="Q57" s="96">
        <f>IF(J57="A","",IF(J57="F",(N57/16)*4,IF(J57="S",N57/4)))</f>
        <v>512</v>
      </c>
      <c r="R57" s="96">
        <f>Q57</f>
        <v>512</v>
      </c>
      <c r="S57" s="95" t="s">
        <v>80</v>
      </c>
      <c r="T57" s="143" t="str">
        <f t="shared" si="64"/>
        <v>/was/jboss7/domains/P-PS91-O/P-PS91-O-F21</v>
      </c>
      <c r="U57" s="143" t="str">
        <f>CONCATENATE("/",LOWER(B57),"/",LOWER(LEFT(G57,4)),"/wasApps")</f>
        <v>/ps9/ps91/wasApps</v>
      </c>
      <c r="V57" s="96" t="str">
        <f>CONCATENATE("/log/jboss7/",I57,"/",L57)</f>
        <v>/log/jboss7/P-PS91-O/P-PS91-O-F21</v>
      </c>
      <c r="W57" s="95" t="s">
        <v>86</v>
      </c>
      <c r="X57" s="98" t="s">
        <v>87</v>
      </c>
      <c r="Y57" s="98">
        <v>9998</v>
      </c>
      <c r="Z57" s="96" t="str">
        <f>"http://40.10.22.156:"&amp;VLOOKUP(L57,'WAS Instance'!$M$7:$T$98,6,0)&amp;"/console"</f>
        <v>http://40.10.22.156:15021/console</v>
      </c>
      <c r="AA57" s="96"/>
      <c r="AB57" s="176"/>
      <c r="AC57" s="168" t="str">
        <f t="shared" si="14"/>
        <v>/web/jws3/domains/P-PS91-O/P-PS91-O-F21</v>
      </c>
      <c r="AD57" s="143" t="str">
        <f>CONCATENATE("/",LOWER(B57),"/",LOWER(LEFT(G57,4)),"/webApp")</f>
        <v>/ps9/ps91/webApp</v>
      </c>
      <c r="AE57" s="143" t="str">
        <f t="shared" si="13"/>
        <v>/log/jws3/P-PS91-O/P-PS91-O-F21</v>
      </c>
      <c r="AF57" s="95" t="s">
        <v>86</v>
      </c>
      <c r="AG57" s="98" t="s">
        <v>87</v>
      </c>
      <c r="AH57" s="98">
        <v>9998</v>
      </c>
      <c r="AI57" s="95" t="s">
        <v>419</v>
      </c>
      <c r="AJ57" s="96"/>
      <c r="AK57" s="256" t="s">
        <v>702</v>
      </c>
    </row>
    <row r="58" spans="1:37" s="51" customFormat="1" ht="16.5" customHeight="1" thickBot="1" x14ac:dyDescent="0.35">
      <c r="A58" s="102" t="s">
        <v>12</v>
      </c>
      <c r="B58" s="108" t="s">
        <v>362</v>
      </c>
      <c r="C58" s="103">
        <v>2</v>
      </c>
      <c r="D58" s="104" t="s">
        <v>322</v>
      </c>
      <c r="E58" s="104" t="str">
        <f>CONCATENATE(A58,"int","ap0",C58)</f>
        <v>pintap02</v>
      </c>
      <c r="F58" s="105" t="s">
        <v>320</v>
      </c>
      <c r="G58" s="106" t="str">
        <f>VLOOKUP(F58,'Domain별 코드 체계'!$B$5:$J$29,7,0)</f>
        <v>VMS1</v>
      </c>
      <c r="H58" s="129" t="s">
        <v>318</v>
      </c>
      <c r="I58" s="107" t="str">
        <f t="shared" si="62"/>
        <v>P-VMS1-O</v>
      </c>
      <c r="J58" s="134" t="s">
        <v>319</v>
      </c>
      <c r="K58" s="108">
        <v>1</v>
      </c>
      <c r="L58" s="109" t="str">
        <f t="shared" ref="L58" si="65">CONCATENATE(I58,"-",J58,C58,K58)</f>
        <v>P-VMS1-O-F21</v>
      </c>
      <c r="M58" s="109" t="str">
        <f>IF(J58="A","",CONCATENATE(I58,"-A11"))</f>
        <v>P-VMS1-O-A11</v>
      </c>
      <c r="N58" s="109">
        <f>IF(J58="A",512,IF(J58="F",2048,IF(J58="S",1024)))</f>
        <v>2048</v>
      </c>
      <c r="O58" s="109">
        <f>IF(J58="A","",IF(J58="F",(N58/16)*6,IF(J58="S",N58/4)))</f>
        <v>768</v>
      </c>
      <c r="P58" s="109">
        <f>O58</f>
        <v>768</v>
      </c>
      <c r="Q58" s="109">
        <f>IF(J58="A","",IF(J58="F",(N58/16)*4,IF(J58="S",N58/4)))</f>
        <v>512</v>
      </c>
      <c r="R58" s="109">
        <f>Q58</f>
        <v>512</v>
      </c>
      <c r="S58" s="108" t="s">
        <v>80</v>
      </c>
      <c r="T58" s="109" t="str">
        <f t="shared" si="64"/>
        <v>/was/jboss7/domains/P-VMS1-O/P-VMS1-O-F21</v>
      </c>
      <c r="U58" s="109" t="str">
        <f>CONCATENATE("/",LOWER(B58),"/",LOWER(LEFT(G58,4)),"/wasApp")</f>
        <v>/vms/vms1/wasApp</v>
      </c>
      <c r="V58" s="109" t="str">
        <f>CONCATENATE("/log/jboss7/",I58,"/",L58)</f>
        <v>/log/jboss7/P-VMS1-O/P-VMS1-O-F21</v>
      </c>
      <c r="W58" s="108" t="s">
        <v>86</v>
      </c>
      <c r="X58" s="111" t="s">
        <v>87</v>
      </c>
      <c r="Y58" s="111">
        <v>9998</v>
      </c>
      <c r="Z58" s="109" t="str">
        <f>"http://40.10.22.156:"&amp;VLOOKUP(L58,'WAS Instance'!$M$7:$T$98,6,0)&amp;"/console"</f>
        <v>http://40.10.22.156:15121/console</v>
      </c>
      <c r="AA58" s="109"/>
      <c r="AB58" s="177"/>
      <c r="AC58" s="163" t="str">
        <f t="shared" si="14"/>
        <v>/web/jws3/domains/P-VMS1-O/P-VMS1-O-F21</v>
      </c>
      <c r="AD58" s="80" t="str">
        <f>CONCATENATE("/",LOWER(B58),"/",LOWER(LEFT(G58,4)),"/webApp")</f>
        <v>/vms/vms1/webApp</v>
      </c>
      <c r="AE58" s="80" t="str">
        <f t="shared" si="13"/>
        <v>/log/jws3/P-VMS1-O/P-VMS1-O-F21</v>
      </c>
      <c r="AF58" s="108" t="s">
        <v>86</v>
      </c>
      <c r="AG58" s="111" t="s">
        <v>87</v>
      </c>
      <c r="AH58" s="111">
        <v>9998</v>
      </c>
      <c r="AI58" s="108" t="s">
        <v>419</v>
      </c>
      <c r="AJ58" s="109"/>
      <c r="AK58" s="257" t="s">
        <v>702</v>
      </c>
    </row>
    <row r="59" spans="1:37" s="51" customFormat="1" ht="6" customHeight="1" x14ac:dyDescent="0.3">
      <c r="A59" s="121" t="s">
        <v>39</v>
      </c>
      <c r="B59" s="83"/>
      <c r="C59" s="83"/>
      <c r="D59" s="84"/>
      <c r="E59" s="84"/>
      <c r="F59" s="84"/>
      <c r="G59" s="84"/>
      <c r="H59" s="84"/>
      <c r="I59" s="84"/>
      <c r="J59" s="83"/>
      <c r="K59" s="83"/>
      <c r="L59" s="84"/>
      <c r="M59" s="84"/>
      <c r="N59" s="84"/>
      <c r="O59" s="84"/>
      <c r="P59" s="84"/>
      <c r="Q59" s="84"/>
      <c r="R59" s="84"/>
      <c r="S59" s="84"/>
      <c r="T59" s="84" t="str">
        <f t="shared" si="61"/>
        <v>/log/jboss7/domains//</v>
      </c>
      <c r="U59" s="84"/>
      <c r="V59" s="84"/>
      <c r="W59" s="84"/>
      <c r="X59" s="84"/>
      <c r="Y59" s="84"/>
      <c r="Z59" s="84" t="e">
        <f>"http://40.10.22.156:"&amp;VLOOKUP(L59,'WAS Instance'!$M$7:$T$98,6,0)&amp;"/console"</f>
        <v>#N/A</v>
      </c>
      <c r="AA59" s="84"/>
      <c r="AB59" s="175"/>
      <c r="AC59" s="166" t="str">
        <f t="shared" si="14"/>
        <v>/web/jws3/domains//</v>
      </c>
      <c r="AD59" s="84" t="str">
        <f t="shared" si="45"/>
        <v>///webApps</v>
      </c>
      <c r="AE59" s="84" t="str">
        <f t="shared" si="13"/>
        <v>/log/jws3//</v>
      </c>
      <c r="AF59" s="84"/>
      <c r="AG59" s="84"/>
      <c r="AH59" s="84"/>
      <c r="AI59" s="83" t="s">
        <v>419</v>
      </c>
      <c r="AJ59" s="84"/>
      <c r="AK59" s="84"/>
    </row>
    <row r="60" spans="1:37" s="51" customFormat="1" ht="16.5" customHeight="1" x14ac:dyDescent="0.3">
      <c r="A60" s="8" t="s">
        <v>40</v>
      </c>
      <c r="B60" s="8" t="s">
        <v>392</v>
      </c>
      <c r="C60" s="8">
        <v>1</v>
      </c>
      <c r="D60" s="52" t="s">
        <v>323</v>
      </c>
      <c r="E60" s="52" t="str">
        <f>CONCATENATE(A60,"ico","ap0",C60)</f>
        <v>ticoap01</v>
      </c>
      <c r="F60" s="9" t="s">
        <v>413</v>
      </c>
      <c r="G60" s="33" t="str">
        <f>VLOOKUP(F60,'Domain별 코드 체계'!$B$5:$J$29,7,0)</f>
        <v>SV11</v>
      </c>
      <c r="H60" s="126" t="s">
        <v>5</v>
      </c>
      <c r="I60" s="10" t="str">
        <f t="shared" ref="I60:I78" si="66">CONCATENATE(UPPER(IF(A60="d","P",A60)),"-",G60,"-",H60)</f>
        <v>T-SV11-O</v>
      </c>
      <c r="J60" s="135" t="s">
        <v>319</v>
      </c>
      <c r="K60" s="157">
        <v>1</v>
      </c>
      <c r="L60" s="57" t="str">
        <f t="shared" ref="L60:L78" si="67">CONCATENATE(I60,"-",J60,C60,K60)</f>
        <v>T-SV11-O-F11</v>
      </c>
      <c r="M60" s="57" t="str">
        <f t="shared" ref="M60:M78" si="68">IF(J60="A","",CONCATENATE(I60,"-A11"))</f>
        <v>T-SV11-O-A11</v>
      </c>
      <c r="N60" s="57">
        <f t="shared" ref="N60:N78" si="69">IF(J60="A",512,IF(J60="F",2048,IF(J60="S",1024)))</f>
        <v>2048</v>
      </c>
      <c r="O60" s="57">
        <f t="shared" ref="O60:O78" si="70">IF(J60="A","",IF(J60="F",(N60/16)*6,IF(J60="S",N60/4)))</f>
        <v>768</v>
      </c>
      <c r="P60" s="57">
        <f t="shared" ref="P60:P78" si="71">O60</f>
        <v>768</v>
      </c>
      <c r="Q60" s="57">
        <f t="shared" ref="Q60:Q78" si="72">IF(J60="A","",IF(J60="F",(N60/16)*4,IF(J60="S",N60/4)))</f>
        <v>512</v>
      </c>
      <c r="R60" s="57">
        <f t="shared" ref="R60:R78" si="73">Q60</f>
        <v>512</v>
      </c>
      <c r="S60" s="157" t="s">
        <v>80</v>
      </c>
      <c r="T60" s="126" t="str">
        <f>CONCATENATE("/was/jboss7/domains/",I60,"/",L60)</f>
        <v>/was/jboss7/domains/T-SV11-O/T-SV11-O-F11</v>
      </c>
      <c r="U60" s="57" t="str">
        <f>CONCATENATE("/",LOWER(B60),"/",LOWER(LEFT(G60,4)),"/wasApp")</f>
        <v>/sv1/sv11/wasApp</v>
      </c>
      <c r="V60" s="52" t="str">
        <f t="shared" ref="V60:V78" si="74">CONCATENATE("/log/jboss7/",I60,"/",L60)</f>
        <v>/log/jboss7/T-SV11-O/T-SV11-O-F11</v>
      </c>
      <c r="W60" s="57"/>
      <c r="X60" s="57"/>
      <c r="Y60" s="57"/>
      <c r="Z60" s="57" t="str">
        <f>"http://40.10.22.156:"&amp;VLOOKUP(L60,'WAS Instance'!$M$7:$T$98,6,0)&amp;"/console"</f>
        <v>http://40.10.22.156:13021/console</v>
      </c>
      <c r="AA60" s="160" t="s">
        <v>418</v>
      </c>
      <c r="AB60" s="178" t="s">
        <v>5</v>
      </c>
      <c r="AC60" s="181" t="str">
        <f>CONCATENATE("/web/jws3/domains/",I60,"/",L60)</f>
        <v>/web/jws3/domains/T-SV11-O/T-SV11-O-F11</v>
      </c>
      <c r="AD60" s="57" t="str">
        <f>CONCATENATE("/",LOWER(B60),"/",LOWER(LEFT(G60,4)),"/webApp")</f>
        <v>/sv1/sv11/webApp</v>
      </c>
      <c r="AE60" s="57" t="str">
        <f t="shared" si="13"/>
        <v>/log/jws3/T-SV11-O/T-SV11-O-F11</v>
      </c>
      <c r="AF60" s="57"/>
      <c r="AG60" s="57"/>
      <c r="AH60" s="57"/>
      <c r="AI60" s="160" t="s">
        <v>419</v>
      </c>
      <c r="AJ60" s="57"/>
      <c r="AK60" s="209" t="s">
        <v>699</v>
      </c>
    </row>
    <row r="61" spans="1:37" s="51" customFormat="1" ht="16.5" customHeight="1" x14ac:dyDescent="0.3">
      <c r="A61" s="8" t="s">
        <v>40</v>
      </c>
      <c r="B61" s="8" t="s">
        <v>392</v>
      </c>
      <c r="C61" s="8">
        <v>1</v>
      </c>
      <c r="D61" s="52" t="s">
        <v>323</v>
      </c>
      <c r="E61" s="52" t="str">
        <f t="shared" ref="E61:E78" si="75">CONCATENATE(A61,"ico","ap0",C61)</f>
        <v>ticoap01</v>
      </c>
      <c r="F61" s="9" t="s">
        <v>396</v>
      </c>
      <c r="G61" s="33" t="str">
        <f>VLOOKUP(F61,'Domain별 코드 체계'!$B$5:$J$29,7,0)</f>
        <v>SV12</v>
      </c>
      <c r="H61" s="126" t="s">
        <v>5</v>
      </c>
      <c r="I61" s="10" t="str">
        <f t="shared" si="66"/>
        <v>T-SV12-O</v>
      </c>
      <c r="J61" s="135" t="s">
        <v>308</v>
      </c>
      <c r="K61" s="157">
        <v>1</v>
      </c>
      <c r="L61" s="57" t="str">
        <f t="shared" si="67"/>
        <v>T-SV12-O-S11</v>
      </c>
      <c r="M61" s="57" t="str">
        <f t="shared" si="68"/>
        <v>T-SV12-O-A11</v>
      </c>
      <c r="N61" s="57">
        <f t="shared" si="69"/>
        <v>1024</v>
      </c>
      <c r="O61" s="57">
        <f t="shared" si="70"/>
        <v>256</v>
      </c>
      <c r="P61" s="57">
        <f t="shared" si="71"/>
        <v>256</v>
      </c>
      <c r="Q61" s="57">
        <f t="shared" si="72"/>
        <v>256</v>
      </c>
      <c r="R61" s="57">
        <f t="shared" si="73"/>
        <v>256</v>
      </c>
      <c r="S61" s="157" t="s">
        <v>80</v>
      </c>
      <c r="T61" s="126" t="str">
        <f t="shared" ref="T61:T78" si="76">CONCATENATE("/was/jboss7/domains/",I61,"/",L61)</f>
        <v>/was/jboss7/domains/T-SV12-O/T-SV12-O-S11</v>
      </c>
      <c r="U61" s="57" t="str">
        <f>CONCATENATE("/",LOWER(B61),"/",LOWER(LEFT(G61,4)),"/wasApp")</f>
        <v>/sv1/sv12/wasApp</v>
      </c>
      <c r="V61" s="52" t="str">
        <f t="shared" si="74"/>
        <v>/log/jboss7/T-SV12-O/T-SV12-O-S11</v>
      </c>
      <c r="W61" s="57"/>
      <c r="X61" s="57"/>
      <c r="Y61" s="57"/>
      <c r="Z61" s="57" t="str">
        <f>"http://40.10.22.156:"&amp;VLOOKUP(L61,'WAS Instance'!$M$7:$T$98,6,0)&amp;"/console"</f>
        <v>http://40.10.22.156:13039/console</v>
      </c>
      <c r="AA61" s="160" t="s">
        <v>418</v>
      </c>
      <c r="AB61" s="178" t="s">
        <v>5</v>
      </c>
      <c r="AC61" s="181" t="str">
        <f t="shared" si="14"/>
        <v>/web/jws3/domains/T-SV12-O/T-SV12-O-S11</v>
      </c>
      <c r="AD61" s="57" t="str">
        <f>CONCATENATE("/",LOWER(B61),"/",LOWER(LEFT(G61,4)),"/webApp")</f>
        <v>/sv1/sv12/webApp</v>
      </c>
      <c r="AE61" s="57" t="str">
        <f t="shared" si="13"/>
        <v>/log/jws3/T-SV12-O/T-SV12-O-S11</v>
      </c>
      <c r="AF61" s="57"/>
      <c r="AG61" s="57"/>
      <c r="AH61" s="57"/>
      <c r="AI61" s="160" t="s">
        <v>419</v>
      </c>
      <c r="AJ61" s="57"/>
      <c r="AK61" s="209" t="s">
        <v>699</v>
      </c>
    </row>
    <row r="62" spans="1:37" s="51" customFormat="1" ht="16.5" customHeight="1" x14ac:dyDescent="0.3">
      <c r="A62" s="8" t="s">
        <v>40</v>
      </c>
      <c r="B62" s="8" t="s">
        <v>392</v>
      </c>
      <c r="C62" s="8">
        <v>1</v>
      </c>
      <c r="D62" s="52" t="s">
        <v>323</v>
      </c>
      <c r="E62" s="52" t="str">
        <f t="shared" si="75"/>
        <v>ticoap01</v>
      </c>
      <c r="F62" s="9" t="s">
        <v>412</v>
      </c>
      <c r="G62" s="33" t="str">
        <f>VLOOKUP(F62,'Domain별 코드 체계'!$B$5:$J$29,7,0)</f>
        <v>SV13</v>
      </c>
      <c r="H62" s="126" t="s">
        <v>5</v>
      </c>
      <c r="I62" s="10" t="str">
        <f t="shared" si="66"/>
        <v>T-SV13-O</v>
      </c>
      <c r="J62" s="135" t="s">
        <v>319</v>
      </c>
      <c r="K62" s="157">
        <v>1</v>
      </c>
      <c r="L62" s="57" t="str">
        <f t="shared" si="67"/>
        <v>T-SV13-O-F11</v>
      </c>
      <c r="M62" s="57" t="str">
        <f t="shared" si="68"/>
        <v>T-SV13-O-A11</v>
      </c>
      <c r="N62" s="57">
        <f t="shared" si="69"/>
        <v>2048</v>
      </c>
      <c r="O62" s="57">
        <f t="shared" si="70"/>
        <v>768</v>
      </c>
      <c r="P62" s="57">
        <f t="shared" si="71"/>
        <v>768</v>
      </c>
      <c r="Q62" s="57">
        <f t="shared" si="72"/>
        <v>512</v>
      </c>
      <c r="R62" s="57">
        <f t="shared" si="73"/>
        <v>512</v>
      </c>
      <c r="S62" s="157" t="s">
        <v>80</v>
      </c>
      <c r="T62" s="126" t="str">
        <f t="shared" si="76"/>
        <v>/was/jboss7/domains/T-SV13-O/T-SV13-O-F11</v>
      </c>
      <c r="U62" s="57" t="str">
        <f t="shared" ref="U62:U75" si="77">CONCATENATE("/",LOWER(B62),"/",LOWER(LEFT(G62,4)),"/wasApp")</f>
        <v>/sv1/sv13/wasApp</v>
      </c>
      <c r="V62" s="52" t="str">
        <f t="shared" si="74"/>
        <v>/log/jboss7/T-SV13-O/T-SV13-O-F11</v>
      </c>
      <c r="W62" s="157"/>
      <c r="X62" s="13"/>
      <c r="Y62" s="13"/>
      <c r="Z62" s="57" t="str">
        <f>"http://40.10.22.156:"&amp;VLOOKUP(L62,'WAS Instance'!$M$7:$T$98,6,0)&amp;"/console"</f>
        <v>http://40.10.22.156:13041/console</v>
      </c>
      <c r="AA62" s="160" t="s">
        <v>418</v>
      </c>
      <c r="AB62" s="178" t="s">
        <v>5</v>
      </c>
      <c r="AC62" s="181" t="str">
        <f t="shared" si="14"/>
        <v>/web/jws3/domains/T-SV13-O/T-SV13-O-F11</v>
      </c>
      <c r="AD62" s="57" t="str">
        <f t="shared" ref="AD62:AD76" si="78">CONCATENATE("/",LOWER(B62),"/",LOWER(LEFT(G62,4)),"/webApp")</f>
        <v>/sv1/sv13/webApp</v>
      </c>
      <c r="AE62" s="57" t="str">
        <f t="shared" si="13"/>
        <v>/log/jws3/T-SV13-O/T-SV13-O-F11</v>
      </c>
      <c r="AF62" s="157"/>
      <c r="AG62" s="13"/>
      <c r="AH62" s="13"/>
      <c r="AI62" s="160" t="s">
        <v>419</v>
      </c>
      <c r="AJ62" s="57"/>
      <c r="AK62" s="209" t="s">
        <v>699</v>
      </c>
    </row>
    <row r="63" spans="1:37" s="51" customFormat="1" ht="16.5" customHeight="1" x14ac:dyDescent="0.3">
      <c r="A63" s="28" t="s">
        <v>40</v>
      </c>
      <c r="B63" s="8" t="s">
        <v>392</v>
      </c>
      <c r="C63" s="28">
        <v>1</v>
      </c>
      <c r="D63" s="52" t="s">
        <v>323</v>
      </c>
      <c r="E63" s="52" t="str">
        <f t="shared" si="75"/>
        <v>ticoap01</v>
      </c>
      <c r="F63" s="9" t="s">
        <v>414</v>
      </c>
      <c r="G63" s="33" t="str">
        <f>VLOOKUP(F63,'Domain별 코드 체계'!$B$5:$J$29,7,0)</f>
        <v>SV14</v>
      </c>
      <c r="H63" s="126" t="s">
        <v>318</v>
      </c>
      <c r="I63" s="10" t="str">
        <f t="shared" si="66"/>
        <v>T-SV14-O</v>
      </c>
      <c r="J63" s="135" t="s">
        <v>308</v>
      </c>
      <c r="K63" s="157">
        <v>1</v>
      </c>
      <c r="L63" s="57" t="str">
        <f t="shared" si="67"/>
        <v>T-SV14-O-S11</v>
      </c>
      <c r="M63" s="57" t="str">
        <f t="shared" si="68"/>
        <v>T-SV14-O-A11</v>
      </c>
      <c r="N63" s="57">
        <f t="shared" si="69"/>
        <v>1024</v>
      </c>
      <c r="O63" s="57">
        <f t="shared" si="70"/>
        <v>256</v>
      </c>
      <c r="P63" s="57">
        <f t="shared" si="71"/>
        <v>256</v>
      </c>
      <c r="Q63" s="57">
        <f t="shared" si="72"/>
        <v>256</v>
      </c>
      <c r="R63" s="57">
        <f t="shared" si="73"/>
        <v>256</v>
      </c>
      <c r="S63" s="157" t="s">
        <v>80</v>
      </c>
      <c r="T63" s="126" t="str">
        <f t="shared" si="76"/>
        <v>/was/jboss7/domains/T-SV14-O/T-SV14-O-S11</v>
      </c>
      <c r="U63" s="57" t="str">
        <f t="shared" si="77"/>
        <v>/sv1/sv14/wasApp</v>
      </c>
      <c r="V63" s="52" t="str">
        <f t="shared" si="74"/>
        <v>/log/jboss7/T-SV14-O/T-SV14-O-S11</v>
      </c>
      <c r="W63" s="57"/>
      <c r="X63" s="57"/>
      <c r="Y63" s="57"/>
      <c r="Z63" s="57" t="str">
        <f>"http://40.10.22.156:"&amp;VLOOKUP(L63,'WAS Instance'!$M$7:$T$98,6,0)&amp;"/console"</f>
        <v>http://40.10.22.156:13059/console</v>
      </c>
      <c r="AA63" s="160" t="s">
        <v>418</v>
      </c>
      <c r="AB63" s="178" t="s">
        <v>5</v>
      </c>
      <c r="AC63" s="181" t="str">
        <f t="shared" si="14"/>
        <v>/web/jws3/domains/T-SV14-O/T-SV14-O-S11</v>
      </c>
      <c r="AD63" s="57" t="str">
        <f t="shared" si="78"/>
        <v>/sv1/sv14/webApp</v>
      </c>
      <c r="AE63" s="57" t="str">
        <f t="shared" si="13"/>
        <v>/log/jws3/T-SV14-O/T-SV14-O-S11</v>
      </c>
      <c r="AF63" s="57"/>
      <c r="AG63" s="57"/>
      <c r="AH63" s="57"/>
      <c r="AI63" s="160" t="s">
        <v>419</v>
      </c>
      <c r="AJ63" s="57"/>
      <c r="AK63" s="209" t="s">
        <v>699</v>
      </c>
    </row>
    <row r="64" spans="1:37" s="51" customFormat="1" ht="16.5" customHeight="1" x14ac:dyDescent="0.3">
      <c r="A64" s="28" t="s">
        <v>40</v>
      </c>
      <c r="B64" s="157" t="s">
        <v>222</v>
      </c>
      <c r="C64" s="28">
        <v>1</v>
      </c>
      <c r="D64" s="52" t="s">
        <v>323</v>
      </c>
      <c r="E64" s="52" t="str">
        <f t="shared" si="75"/>
        <v>ticoap01</v>
      </c>
      <c r="F64" s="146" t="s">
        <v>238</v>
      </c>
      <c r="G64" s="147" t="str">
        <f>VLOOKUP(F64,'Domain별 코드 체계'!$B$5:$J$29,7,0)</f>
        <v>BE11</v>
      </c>
      <c r="H64" s="130" t="s">
        <v>318</v>
      </c>
      <c r="I64" s="148" t="str">
        <f t="shared" si="66"/>
        <v>T-BE11-O</v>
      </c>
      <c r="J64" s="149" t="s">
        <v>319</v>
      </c>
      <c r="K64" s="150">
        <v>1</v>
      </c>
      <c r="L64" s="143" t="str">
        <f t="shared" si="67"/>
        <v>T-BE11-O-F11</v>
      </c>
      <c r="M64" s="143" t="str">
        <f t="shared" si="68"/>
        <v>T-BE11-O-A11</v>
      </c>
      <c r="N64" s="143">
        <f t="shared" si="69"/>
        <v>2048</v>
      </c>
      <c r="O64" s="143">
        <f t="shared" si="70"/>
        <v>768</v>
      </c>
      <c r="P64" s="143">
        <f t="shared" si="71"/>
        <v>768</v>
      </c>
      <c r="Q64" s="143">
        <f t="shared" si="72"/>
        <v>512</v>
      </c>
      <c r="R64" s="143">
        <f t="shared" si="73"/>
        <v>512</v>
      </c>
      <c r="S64" s="150" t="s">
        <v>80</v>
      </c>
      <c r="T64" s="126" t="str">
        <f t="shared" si="76"/>
        <v>/was/jboss7/domains/T-BE11-O/T-BE11-O-F11</v>
      </c>
      <c r="U64" s="57" t="str">
        <f t="shared" si="77"/>
        <v>/be1/be11/wasApp</v>
      </c>
      <c r="V64" s="52" t="str">
        <f t="shared" si="74"/>
        <v>/log/jboss7/T-BE11-O/T-BE11-O-F11</v>
      </c>
      <c r="W64" s="57"/>
      <c r="X64" s="57"/>
      <c r="Y64" s="57"/>
      <c r="Z64" s="57" t="str">
        <f>"http://40.10.22.156:"&amp;VLOOKUP(L64,'WAS Instance'!$M$7:$T$98,6,0)&amp;"/console"</f>
        <v>http://40.10.22.156:14221/console</v>
      </c>
      <c r="AA64" s="160" t="s">
        <v>418</v>
      </c>
      <c r="AB64" s="178" t="s">
        <v>5</v>
      </c>
      <c r="AC64" s="180" t="str">
        <f t="shared" si="14"/>
        <v>/web/jws3/domains/T-BE11-O/T-BE11-O-F11</v>
      </c>
      <c r="AD64" s="57" t="str">
        <f t="shared" si="78"/>
        <v>/be1/be11/webApp</v>
      </c>
      <c r="AE64" s="143" t="str">
        <f t="shared" si="13"/>
        <v>/log/jws3/T-BE11-O/T-BE11-O-F11</v>
      </c>
      <c r="AF64" s="57"/>
      <c r="AG64" s="57"/>
      <c r="AH64" s="57"/>
      <c r="AI64" s="160" t="s">
        <v>419</v>
      </c>
      <c r="AJ64" s="57"/>
      <c r="AK64" s="209" t="s">
        <v>699</v>
      </c>
    </row>
    <row r="65" spans="1:37" s="51" customFormat="1" ht="16.5" customHeight="1" x14ac:dyDescent="0.3">
      <c r="A65" s="8" t="s">
        <v>40</v>
      </c>
      <c r="B65" s="8" t="s">
        <v>236</v>
      </c>
      <c r="C65" s="8">
        <v>1</v>
      </c>
      <c r="D65" s="52" t="s">
        <v>323</v>
      </c>
      <c r="E65" s="52" t="str">
        <f t="shared" si="75"/>
        <v>ticoap01</v>
      </c>
      <c r="F65" s="9" t="s">
        <v>240</v>
      </c>
      <c r="G65" s="33" t="str">
        <f>VLOOKUP(F65,'Domain별 코드 체계'!$B$5:$J$29,7,0)</f>
        <v>PQ11</v>
      </c>
      <c r="H65" s="126" t="s">
        <v>5</v>
      </c>
      <c r="I65" s="10" t="str">
        <f t="shared" si="66"/>
        <v>T-PQ11-O</v>
      </c>
      <c r="J65" s="135" t="s">
        <v>319</v>
      </c>
      <c r="K65" s="157">
        <v>1</v>
      </c>
      <c r="L65" s="57" t="str">
        <f t="shared" si="67"/>
        <v>T-PQ11-O-F11</v>
      </c>
      <c r="M65" s="57" t="str">
        <f t="shared" si="68"/>
        <v>T-PQ11-O-A11</v>
      </c>
      <c r="N65" s="57">
        <f t="shared" si="69"/>
        <v>2048</v>
      </c>
      <c r="O65" s="57">
        <f t="shared" si="70"/>
        <v>768</v>
      </c>
      <c r="P65" s="57">
        <f t="shared" si="71"/>
        <v>768</v>
      </c>
      <c r="Q65" s="57">
        <f t="shared" si="72"/>
        <v>512</v>
      </c>
      <c r="R65" s="57">
        <f t="shared" si="73"/>
        <v>512</v>
      </c>
      <c r="S65" s="157" t="s">
        <v>80</v>
      </c>
      <c r="T65" s="126" t="str">
        <f t="shared" si="76"/>
        <v>/was/jboss7/domains/T-PQ11-O/T-PQ11-O-F11</v>
      </c>
      <c r="U65" s="57" t="str">
        <f t="shared" si="77"/>
        <v>/pq1/pq11/wasApp</v>
      </c>
      <c r="V65" s="52" t="str">
        <f t="shared" si="74"/>
        <v>/log/jboss7/T-PQ11-O/T-PQ11-O-F11</v>
      </c>
      <c r="W65" s="57"/>
      <c r="X65" s="57"/>
      <c r="Y65" s="57"/>
      <c r="Z65" s="57" t="str">
        <f>"http://40.10.22.156:"&amp;VLOOKUP(L65,'WAS Instance'!$M$7:$T$98,6,0)&amp;"/console"</f>
        <v>http://40.10.22.156:14121/console</v>
      </c>
      <c r="AA65" s="160" t="s">
        <v>418</v>
      </c>
      <c r="AB65" s="178" t="s">
        <v>5</v>
      </c>
      <c r="AC65" s="181" t="str">
        <f t="shared" si="14"/>
        <v>/web/jws3/domains/T-PQ11-O/T-PQ11-O-F11</v>
      </c>
      <c r="AD65" s="57" t="str">
        <f t="shared" si="78"/>
        <v>/pq1/pq11/webApp</v>
      </c>
      <c r="AE65" s="57" t="str">
        <f t="shared" si="13"/>
        <v>/log/jws3/T-PQ11-O/T-PQ11-O-F11</v>
      </c>
      <c r="AF65" s="57"/>
      <c r="AG65" s="57"/>
      <c r="AH65" s="57"/>
      <c r="AI65" s="160" t="s">
        <v>419</v>
      </c>
      <c r="AJ65" s="57"/>
      <c r="AK65" s="209" t="s">
        <v>699</v>
      </c>
    </row>
    <row r="66" spans="1:37" s="51" customFormat="1" ht="16.5" customHeight="1" x14ac:dyDescent="0.3">
      <c r="A66" s="8" t="s">
        <v>40</v>
      </c>
      <c r="B66" s="8" t="s">
        <v>236</v>
      </c>
      <c r="C66" s="8">
        <v>1</v>
      </c>
      <c r="D66" s="52" t="s">
        <v>323</v>
      </c>
      <c r="E66" s="52" t="str">
        <f t="shared" si="75"/>
        <v>ticoap01</v>
      </c>
      <c r="F66" s="9" t="s">
        <v>240</v>
      </c>
      <c r="G66" s="33" t="str">
        <f>VLOOKUP(F66,'Domain별 코드 체계'!$B$5:$J$29,7,0)</f>
        <v>PQ11</v>
      </c>
      <c r="H66" s="126" t="s">
        <v>5</v>
      </c>
      <c r="I66" s="10" t="str">
        <f t="shared" si="66"/>
        <v>T-PQ11-O</v>
      </c>
      <c r="J66" s="135" t="s">
        <v>308</v>
      </c>
      <c r="K66" s="157">
        <v>1</v>
      </c>
      <c r="L66" s="57" t="str">
        <f t="shared" si="67"/>
        <v>T-PQ11-O-S11</v>
      </c>
      <c r="M66" s="57" t="str">
        <f t="shared" si="68"/>
        <v>T-PQ11-O-A11</v>
      </c>
      <c r="N66" s="57">
        <f t="shared" si="69"/>
        <v>1024</v>
      </c>
      <c r="O66" s="57">
        <f t="shared" si="70"/>
        <v>256</v>
      </c>
      <c r="P66" s="57">
        <f t="shared" si="71"/>
        <v>256</v>
      </c>
      <c r="Q66" s="57">
        <f t="shared" si="72"/>
        <v>256</v>
      </c>
      <c r="R66" s="57">
        <f t="shared" si="73"/>
        <v>256</v>
      </c>
      <c r="S66" s="157" t="s">
        <v>80</v>
      </c>
      <c r="T66" s="126" t="str">
        <f t="shared" si="76"/>
        <v>/was/jboss7/domains/T-PQ11-O/T-PQ11-O-S11</v>
      </c>
      <c r="U66" s="57" t="str">
        <f t="shared" si="77"/>
        <v>/pq1/pq11/wasApp</v>
      </c>
      <c r="V66" s="52" t="str">
        <f t="shared" si="74"/>
        <v>/log/jboss7/T-PQ11-O/T-PQ11-O-S11</v>
      </c>
      <c r="W66" s="57"/>
      <c r="X66" s="57"/>
      <c r="Y66" s="57"/>
      <c r="Z66" s="57" t="str">
        <f>"http://40.10.22.156:"&amp;VLOOKUP(L66,'WAS Instance'!$M$7:$T$98,6,0)&amp;"/console"</f>
        <v>http://40.10.22.156:14129/console</v>
      </c>
      <c r="AA66" s="160" t="s">
        <v>418</v>
      </c>
      <c r="AB66" s="178" t="s">
        <v>5</v>
      </c>
      <c r="AC66" s="181" t="str">
        <f t="shared" si="14"/>
        <v>/web/jws3/domains/T-PQ11-O/T-PQ11-O-S11</v>
      </c>
      <c r="AD66" s="57" t="str">
        <f t="shared" si="78"/>
        <v>/pq1/pq11/webApp</v>
      </c>
      <c r="AE66" s="57" t="str">
        <f t="shared" si="13"/>
        <v>/log/jws3/T-PQ11-O/T-PQ11-O-S11</v>
      </c>
      <c r="AF66" s="57"/>
      <c r="AG66" s="57"/>
      <c r="AH66" s="57"/>
      <c r="AI66" s="160" t="s">
        <v>419</v>
      </c>
      <c r="AJ66" s="57"/>
      <c r="AK66" s="209" t="s">
        <v>699</v>
      </c>
    </row>
    <row r="67" spans="1:37" s="51" customFormat="1" ht="16.5" customHeight="1" x14ac:dyDescent="0.3">
      <c r="A67" s="100" t="s">
        <v>341</v>
      </c>
      <c r="B67" s="8" t="s">
        <v>223</v>
      </c>
      <c r="C67" s="8">
        <v>1</v>
      </c>
      <c r="D67" s="52" t="s">
        <v>323</v>
      </c>
      <c r="E67" s="52" t="str">
        <f t="shared" si="75"/>
        <v>ticoap01</v>
      </c>
      <c r="F67" s="9" t="s">
        <v>194</v>
      </c>
      <c r="G67" s="33" t="str">
        <f>VLOOKUP(F67,'Domain별 코드 체계'!$B$5:$J$29,7,0)</f>
        <v>SP11</v>
      </c>
      <c r="H67" s="126" t="s">
        <v>5</v>
      </c>
      <c r="I67" s="10" t="str">
        <f t="shared" si="66"/>
        <v>T-SP11-O</v>
      </c>
      <c r="J67" s="135" t="s">
        <v>88</v>
      </c>
      <c r="K67" s="157">
        <v>1</v>
      </c>
      <c r="L67" s="57" t="str">
        <f t="shared" si="67"/>
        <v>T-SP11-O-F11</v>
      </c>
      <c r="M67" s="57" t="str">
        <f t="shared" si="68"/>
        <v>T-SP11-O-A11</v>
      </c>
      <c r="N67" s="57">
        <f t="shared" si="69"/>
        <v>2048</v>
      </c>
      <c r="O67" s="57">
        <f t="shared" si="70"/>
        <v>768</v>
      </c>
      <c r="P67" s="57">
        <f t="shared" si="71"/>
        <v>768</v>
      </c>
      <c r="Q67" s="57">
        <f t="shared" si="72"/>
        <v>512</v>
      </c>
      <c r="R67" s="57">
        <f t="shared" si="73"/>
        <v>512</v>
      </c>
      <c r="S67" s="157" t="s">
        <v>80</v>
      </c>
      <c r="T67" s="126" t="str">
        <f t="shared" si="76"/>
        <v>/was/jboss7/domains/T-SP11-O/T-SP11-O-F11</v>
      </c>
      <c r="U67" s="57" t="str">
        <f t="shared" si="77"/>
        <v>/sp1/sp11/wasApp</v>
      </c>
      <c r="V67" s="52" t="str">
        <f t="shared" si="74"/>
        <v>/log/jboss7/T-SP11-O/T-SP11-O-F11</v>
      </c>
      <c r="W67" s="157"/>
      <c r="X67" s="13"/>
      <c r="Y67" s="13"/>
      <c r="Z67" s="57" t="str">
        <f>"http://40.10.22.156:"&amp;VLOOKUP(L67,'WAS Instance'!$M$7:$T$98,6,0)&amp;"/console"</f>
        <v>http://40.10.22.156:14021/console</v>
      </c>
      <c r="AA67" s="160" t="s">
        <v>418</v>
      </c>
      <c r="AB67" s="178" t="s">
        <v>318</v>
      </c>
      <c r="AC67" s="181" t="str">
        <f t="shared" si="14"/>
        <v>/web/jws3/domains/T-SP11-O/T-SP11-O-F11</v>
      </c>
      <c r="AD67" s="57" t="str">
        <f t="shared" si="78"/>
        <v>/sp1/sp11/webApp</v>
      </c>
      <c r="AE67" s="57" t="str">
        <f t="shared" si="13"/>
        <v>/log/jws3/T-SP11-O/T-SP11-O-F11</v>
      </c>
      <c r="AF67" s="157"/>
      <c r="AG67" s="13"/>
      <c r="AH67" s="13"/>
      <c r="AI67" s="160" t="s">
        <v>419</v>
      </c>
      <c r="AJ67" s="57"/>
      <c r="AK67" s="159" t="s">
        <v>700</v>
      </c>
    </row>
    <row r="68" spans="1:37" s="51" customFormat="1" ht="16.5" customHeight="1" x14ac:dyDescent="0.3">
      <c r="A68" s="100" t="s">
        <v>341</v>
      </c>
      <c r="B68" s="8" t="s">
        <v>223</v>
      </c>
      <c r="C68" s="8">
        <v>1</v>
      </c>
      <c r="D68" s="52" t="s">
        <v>323</v>
      </c>
      <c r="E68" s="52" t="str">
        <f t="shared" si="75"/>
        <v>ticoap01</v>
      </c>
      <c r="F68" s="9" t="s">
        <v>194</v>
      </c>
      <c r="G68" s="33" t="str">
        <f>VLOOKUP(F68,'Domain별 코드 체계'!$B$5:$J$29,7,0)</f>
        <v>SP11</v>
      </c>
      <c r="H68" s="126" t="s">
        <v>5</v>
      </c>
      <c r="I68" s="10" t="str">
        <f t="shared" si="66"/>
        <v>T-SP11-O</v>
      </c>
      <c r="J68" s="135" t="s">
        <v>308</v>
      </c>
      <c r="K68" s="157">
        <v>1</v>
      </c>
      <c r="L68" s="57" t="str">
        <f t="shared" si="67"/>
        <v>T-SP11-O-S11</v>
      </c>
      <c r="M68" s="57" t="str">
        <f t="shared" si="68"/>
        <v>T-SP11-O-A11</v>
      </c>
      <c r="N68" s="57">
        <f t="shared" si="69"/>
        <v>1024</v>
      </c>
      <c r="O68" s="57">
        <f t="shared" si="70"/>
        <v>256</v>
      </c>
      <c r="P68" s="57">
        <f t="shared" si="71"/>
        <v>256</v>
      </c>
      <c r="Q68" s="57">
        <f t="shared" si="72"/>
        <v>256</v>
      </c>
      <c r="R68" s="57">
        <f t="shared" si="73"/>
        <v>256</v>
      </c>
      <c r="S68" s="157" t="s">
        <v>80</v>
      </c>
      <c r="T68" s="126" t="str">
        <f t="shared" si="76"/>
        <v>/was/jboss7/domains/T-SP11-O/T-SP11-O-S11</v>
      </c>
      <c r="U68" s="57" t="str">
        <f t="shared" si="77"/>
        <v>/sp1/sp11/wasApp</v>
      </c>
      <c r="V68" s="52" t="str">
        <f t="shared" si="74"/>
        <v>/log/jboss7/T-SP11-O/T-SP11-O-S11</v>
      </c>
      <c r="W68" s="157"/>
      <c r="X68" s="13"/>
      <c r="Y68" s="13"/>
      <c r="Z68" s="57" t="str">
        <f>"http://40.10.22.156:"&amp;VLOOKUP(L68,'WAS Instance'!$M$7:$T$98,6,0)&amp;"/console"</f>
        <v>http://40.10.22.156:14029/console</v>
      </c>
      <c r="AA68" s="160" t="s">
        <v>418</v>
      </c>
      <c r="AB68" s="178" t="s">
        <v>5</v>
      </c>
      <c r="AC68" s="182" t="str">
        <f t="shared" si="14"/>
        <v>/web/jws3/domains/T-SP11-O/T-SP11-O-S11</v>
      </c>
      <c r="AD68" s="57" t="str">
        <f t="shared" si="78"/>
        <v>/sp1/sp11/webApp</v>
      </c>
      <c r="AE68" s="57" t="str">
        <f t="shared" si="13"/>
        <v>/log/jws3/T-SP11-O/T-SP11-O-S11</v>
      </c>
      <c r="AF68" s="157"/>
      <c r="AG68" s="13"/>
      <c r="AH68" s="13"/>
      <c r="AI68" s="160" t="s">
        <v>419</v>
      </c>
      <c r="AJ68" s="57"/>
      <c r="AK68" s="159" t="s">
        <v>699</v>
      </c>
    </row>
    <row r="69" spans="1:37" s="51" customFormat="1" ht="16.5" customHeight="1" x14ac:dyDescent="0.3">
      <c r="A69" s="8" t="s">
        <v>40</v>
      </c>
      <c r="B69" s="157" t="s">
        <v>227</v>
      </c>
      <c r="C69" s="8">
        <v>1</v>
      </c>
      <c r="D69" s="52" t="s">
        <v>323</v>
      </c>
      <c r="E69" s="52" t="str">
        <f t="shared" si="75"/>
        <v>ticoap01</v>
      </c>
      <c r="F69" s="9" t="s">
        <v>243</v>
      </c>
      <c r="G69" s="33" t="str">
        <f>VLOOKUP(F69,'Domain별 코드 체계'!$B$5:$J$29,7,0)</f>
        <v>GE21</v>
      </c>
      <c r="H69" s="126" t="s">
        <v>5</v>
      </c>
      <c r="I69" s="10" t="str">
        <f t="shared" si="66"/>
        <v>T-GE21-O</v>
      </c>
      <c r="J69" s="135" t="s">
        <v>319</v>
      </c>
      <c r="K69" s="157">
        <v>1</v>
      </c>
      <c r="L69" s="57" t="str">
        <f t="shared" si="67"/>
        <v>T-GE21-O-F11</v>
      </c>
      <c r="M69" s="57" t="str">
        <f t="shared" si="68"/>
        <v>T-GE21-O-A11</v>
      </c>
      <c r="N69" s="57">
        <f t="shared" si="69"/>
        <v>2048</v>
      </c>
      <c r="O69" s="57">
        <f t="shared" si="70"/>
        <v>768</v>
      </c>
      <c r="P69" s="57">
        <f t="shared" si="71"/>
        <v>768</v>
      </c>
      <c r="Q69" s="57">
        <f t="shared" si="72"/>
        <v>512</v>
      </c>
      <c r="R69" s="57">
        <f t="shared" si="73"/>
        <v>512</v>
      </c>
      <c r="S69" s="157" t="s">
        <v>80</v>
      </c>
      <c r="T69" s="126" t="str">
        <f t="shared" si="76"/>
        <v>/was/jboss7/domains/T-GE21-O/T-GE21-O-F11</v>
      </c>
      <c r="U69" s="57" t="str">
        <f t="shared" si="77"/>
        <v>/ge2/ge21/wasApp</v>
      </c>
      <c r="V69" s="52" t="str">
        <f t="shared" si="74"/>
        <v>/log/jboss7/T-GE21-O/T-GE21-O-F11</v>
      </c>
      <c r="W69" s="57"/>
      <c r="X69" s="57"/>
      <c r="Y69" s="57"/>
      <c r="Z69" s="57" t="str">
        <f>"http://40.10.22.156:"&amp;VLOOKUP(L69,'WAS Instance'!$M$7:$T$98,6,0)&amp;"/console"</f>
        <v>http://40.10.22.156:14321/console</v>
      </c>
      <c r="AA69" s="160" t="s">
        <v>418</v>
      </c>
      <c r="AB69" s="178" t="s">
        <v>5</v>
      </c>
      <c r="AC69" s="181" t="str">
        <f t="shared" si="14"/>
        <v>/web/jws3/domains/T-GE21-O/T-GE21-O-F11</v>
      </c>
      <c r="AD69" s="57" t="str">
        <f t="shared" si="78"/>
        <v>/ge2/ge21/webApp</v>
      </c>
      <c r="AE69" s="57" t="str">
        <f t="shared" si="13"/>
        <v>/log/jws3/T-GE21-O/T-GE21-O-F11</v>
      </c>
      <c r="AF69" s="57"/>
      <c r="AG69" s="57"/>
      <c r="AH69" s="57"/>
      <c r="AI69" s="160" t="s">
        <v>419</v>
      </c>
      <c r="AJ69" s="57"/>
      <c r="AK69" s="209" t="s">
        <v>701</v>
      </c>
    </row>
    <row r="70" spans="1:37" s="51" customFormat="1" ht="16.5" customHeight="1" x14ac:dyDescent="0.3">
      <c r="A70" s="8" t="s">
        <v>40</v>
      </c>
      <c r="B70" s="157" t="s">
        <v>227</v>
      </c>
      <c r="C70" s="8">
        <v>1</v>
      </c>
      <c r="D70" s="52" t="s">
        <v>323</v>
      </c>
      <c r="E70" s="52" t="str">
        <f t="shared" si="75"/>
        <v>ticoap01</v>
      </c>
      <c r="F70" s="9" t="s">
        <v>243</v>
      </c>
      <c r="G70" s="33" t="str">
        <f>VLOOKUP(F70,'Domain별 코드 체계'!$B$5:$J$29,7,0)</f>
        <v>GE21</v>
      </c>
      <c r="H70" s="126" t="s">
        <v>318</v>
      </c>
      <c r="I70" s="10" t="str">
        <f t="shared" si="66"/>
        <v>T-GE21-O</v>
      </c>
      <c r="J70" s="135" t="s">
        <v>308</v>
      </c>
      <c r="K70" s="157">
        <v>1</v>
      </c>
      <c r="L70" s="57" t="str">
        <f t="shared" si="67"/>
        <v>T-GE21-O-S11</v>
      </c>
      <c r="M70" s="57" t="str">
        <f t="shared" si="68"/>
        <v>T-GE21-O-A11</v>
      </c>
      <c r="N70" s="57">
        <f t="shared" si="69"/>
        <v>1024</v>
      </c>
      <c r="O70" s="57">
        <f t="shared" si="70"/>
        <v>256</v>
      </c>
      <c r="P70" s="57">
        <f t="shared" si="71"/>
        <v>256</v>
      </c>
      <c r="Q70" s="57">
        <f t="shared" si="72"/>
        <v>256</v>
      </c>
      <c r="R70" s="57">
        <f t="shared" si="73"/>
        <v>256</v>
      </c>
      <c r="S70" s="157" t="s">
        <v>80</v>
      </c>
      <c r="T70" s="126" t="str">
        <f t="shared" si="76"/>
        <v>/was/jboss7/domains/T-GE21-O/T-GE21-O-S11</v>
      </c>
      <c r="U70" s="57" t="str">
        <f t="shared" si="77"/>
        <v>/ge2/ge21/wasApp</v>
      </c>
      <c r="V70" s="52" t="str">
        <f t="shared" si="74"/>
        <v>/log/jboss7/T-GE21-O/T-GE21-O-S11</v>
      </c>
      <c r="W70" s="57"/>
      <c r="X70" s="57"/>
      <c r="Y70" s="57"/>
      <c r="Z70" s="57" t="str">
        <f>"http://40.10.22.156:"&amp;VLOOKUP(L70,'WAS Instance'!$M$7:$T$98,6,0)&amp;"/console"</f>
        <v>http://40.10.22.156:14329/console</v>
      </c>
      <c r="AA70" s="160" t="s">
        <v>418</v>
      </c>
      <c r="AB70" s="178" t="s">
        <v>5</v>
      </c>
      <c r="AC70" s="182" t="str">
        <f t="shared" si="14"/>
        <v>/web/jws3/domains/T-GE21-O/T-GE21-O-S11</v>
      </c>
      <c r="AD70" s="57" t="str">
        <f t="shared" si="78"/>
        <v>/ge2/ge21/webApp</v>
      </c>
      <c r="AE70" s="57" t="str">
        <f t="shared" si="13"/>
        <v>/log/jws3/T-GE21-O/T-GE21-O-S11</v>
      </c>
      <c r="AF70" s="57"/>
      <c r="AG70" s="57"/>
      <c r="AH70" s="57"/>
      <c r="AI70" s="160" t="s">
        <v>419</v>
      </c>
      <c r="AJ70" s="57"/>
      <c r="AK70" s="209" t="s">
        <v>701</v>
      </c>
    </row>
    <row r="71" spans="1:37" s="51" customFormat="1" ht="16.5" customHeight="1" x14ac:dyDescent="0.3">
      <c r="A71" s="8" t="s">
        <v>40</v>
      </c>
      <c r="B71" s="157" t="s">
        <v>229</v>
      </c>
      <c r="C71" s="8">
        <v>1</v>
      </c>
      <c r="D71" s="52" t="s">
        <v>323</v>
      </c>
      <c r="E71" s="52" t="str">
        <f t="shared" si="75"/>
        <v>ticoap01</v>
      </c>
      <c r="F71" s="9" t="s">
        <v>328</v>
      </c>
      <c r="G71" s="33" t="str">
        <f>VLOOKUP(F71,'Domain별 코드 체계'!$B$5:$J$29,7,0)</f>
        <v>MS71</v>
      </c>
      <c r="H71" s="126" t="s">
        <v>5</v>
      </c>
      <c r="I71" s="10" t="str">
        <f t="shared" si="66"/>
        <v>T-MS71-O</v>
      </c>
      <c r="J71" s="135" t="s">
        <v>88</v>
      </c>
      <c r="K71" s="157">
        <v>1</v>
      </c>
      <c r="L71" s="57" t="str">
        <f t="shared" si="67"/>
        <v>T-MS71-O-F11</v>
      </c>
      <c r="M71" s="57" t="str">
        <f t="shared" si="68"/>
        <v>T-MS71-O-A11</v>
      </c>
      <c r="N71" s="57">
        <f t="shared" si="69"/>
        <v>2048</v>
      </c>
      <c r="O71" s="57">
        <f t="shared" si="70"/>
        <v>768</v>
      </c>
      <c r="P71" s="57">
        <f t="shared" si="71"/>
        <v>768</v>
      </c>
      <c r="Q71" s="57">
        <f t="shared" si="72"/>
        <v>512</v>
      </c>
      <c r="R71" s="57">
        <f t="shared" si="73"/>
        <v>512</v>
      </c>
      <c r="S71" s="157" t="s">
        <v>80</v>
      </c>
      <c r="T71" s="126" t="str">
        <f t="shared" si="76"/>
        <v>/was/jboss7/domains/T-MS71-O/T-MS71-O-F11</v>
      </c>
      <c r="U71" s="57" t="str">
        <f t="shared" si="77"/>
        <v>/ms7/ms71/wasApp</v>
      </c>
      <c r="V71" s="52" t="str">
        <f t="shared" si="74"/>
        <v>/log/jboss7/T-MS71-O/T-MS71-O-F11</v>
      </c>
      <c r="W71" s="57"/>
      <c r="X71" s="57"/>
      <c r="Y71" s="57"/>
      <c r="Z71" s="57" t="str">
        <f>"http://40.10.22.156:"&amp;VLOOKUP(L71,'WAS Instance'!$M$7:$T$98,6,0)&amp;"/console"</f>
        <v>http://40.10.22.156:14421/console</v>
      </c>
      <c r="AA71" s="160" t="s">
        <v>418</v>
      </c>
      <c r="AB71" s="178" t="s">
        <v>5</v>
      </c>
      <c r="AC71" s="181" t="str">
        <f t="shared" si="14"/>
        <v>/web/jws3/domains/T-MS71-O/T-MS71-O-F11</v>
      </c>
      <c r="AD71" s="57" t="str">
        <f t="shared" si="78"/>
        <v>/ms7/ms71/webApp</v>
      </c>
      <c r="AE71" s="57" t="str">
        <f t="shared" si="13"/>
        <v>/log/jws3/T-MS71-O/T-MS71-O-F11</v>
      </c>
      <c r="AF71" s="57"/>
      <c r="AG71" s="57"/>
      <c r="AH71" s="57"/>
      <c r="AI71" s="160" t="s">
        <v>419</v>
      </c>
      <c r="AJ71" s="57"/>
      <c r="AK71" s="209" t="s">
        <v>699</v>
      </c>
    </row>
    <row r="72" spans="1:37" s="51" customFormat="1" ht="16.5" customHeight="1" x14ac:dyDescent="0.3">
      <c r="A72" s="8" t="s">
        <v>40</v>
      </c>
      <c r="B72" s="157" t="s">
        <v>225</v>
      </c>
      <c r="C72" s="8">
        <v>1</v>
      </c>
      <c r="D72" s="52" t="s">
        <v>323</v>
      </c>
      <c r="E72" s="52" t="str">
        <f>CONCATENATE(A72,"ico","ap0",C72)</f>
        <v>ticoap01</v>
      </c>
      <c r="F72" s="9" t="s">
        <v>242</v>
      </c>
      <c r="G72" s="33" t="str">
        <f>VLOOKUP(F72,'Domain별 코드 체계'!$B$5:$J$29,7,0)</f>
        <v>BIM1</v>
      </c>
      <c r="H72" s="126" t="s">
        <v>318</v>
      </c>
      <c r="I72" s="10" t="str">
        <f>CONCATENATE(UPPER(IF(A72="d","P",A72)),"-",G72,"-",H72)</f>
        <v>T-BIM1-O</v>
      </c>
      <c r="J72" s="135" t="s">
        <v>88</v>
      </c>
      <c r="K72" s="157">
        <v>1</v>
      </c>
      <c r="L72" s="57" t="str">
        <f>CONCATENATE(I72,"-",J72,C72,K72)</f>
        <v>T-BIM1-O-F11</v>
      </c>
      <c r="M72" s="57" t="str">
        <f>IF(J72="A","",CONCATENATE(I72,"-A11"))</f>
        <v>T-BIM1-O-A11</v>
      </c>
      <c r="N72" s="57">
        <f>IF(J72="A",512,IF(J72="F",2048,IF(J72="S",1024)))</f>
        <v>2048</v>
      </c>
      <c r="O72" s="57">
        <f>IF(J72="A","",IF(J72="F",(N72/16)*6,IF(J72="S",N72/4)))</f>
        <v>768</v>
      </c>
      <c r="P72" s="57">
        <f>O72</f>
        <v>768</v>
      </c>
      <c r="Q72" s="57">
        <f>IF(J72="A","",IF(J72="F",(N72/16)*4,IF(J72="S",N72/4)))</f>
        <v>512</v>
      </c>
      <c r="R72" s="57">
        <f>Q72</f>
        <v>512</v>
      </c>
      <c r="S72" s="157" t="s">
        <v>80</v>
      </c>
      <c r="T72" s="126" t="str">
        <f>CONCATENATE("/was/jboss7/domains/",I72,"/",L72)</f>
        <v>/was/jboss7/domains/T-BIM1-O/T-BIM1-O-F11</v>
      </c>
      <c r="U72" s="57" t="str">
        <f>CONCATENATE("/",LOWER(B72),"/",LOWER(LEFT(G72,4)),"/wasApp")</f>
        <v>/bim/bim1/wasApp</v>
      </c>
      <c r="V72" s="52" t="str">
        <f>CONCATENATE("/log/jboss7/",I72,"/",L72)</f>
        <v>/log/jboss7/T-BIM1-O/T-BIM1-O-F11</v>
      </c>
      <c r="W72" s="57"/>
      <c r="X72" s="57"/>
      <c r="Y72" s="57"/>
      <c r="Z72" s="57" t="str">
        <f>"http://40.10.22.156:"&amp;VLOOKUP(L72,'WAS Instance'!$M$7:$T$98,6,0)&amp;"/console"</f>
        <v>http://40.10.22.156:15011/console</v>
      </c>
      <c r="AA72" s="160" t="s">
        <v>418</v>
      </c>
      <c r="AB72" s="178" t="s">
        <v>420</v>
      </c>
      <c r="AC72" s="181" t="str">
        <f>CONCATENATE("/web/jws3/domains/",I72,"/",L72)</f>
        <v>/web/jws3/domains/T-BIM1-O/T-BIM1-O-F11</v>
      </c>
      <c r="AD72" s="57" t="str">
        <f>CONCATENATE("/",LOWER(B72),"/",LOWER(LEFT(G72,4)),"/webApp")</f>
        <v>/bim/bim1/webApp</v>
      </c>
      <c r="AE72" s="57" t="str">
        <f>CONCATENATE("/log/jws3/",I72,"/",L72)</f>
        <v>/log/jws3/T-BIM1-O/T-BIM1-O-F11</v>
      </c>
      <c r="AF72" s="57"/>
      <c r="AG72" s="57"/>
      <c r="AH72" s="57"/>
      <c r="AI72" s="160" t="s">
        <v>419</v>
      </c>
      <c r="AJ72" s="57"/>
      <c r="AK72" s="209" t="s">
        <v>699</v>
      </c>
    </row>
    <row r="73" spans="1:37" s="51" customFormat="1" ht="16.5" customHeight="1" x14ac:dyDescent="0.3">
      <c r="A73" s="8" t="s">
        <v>40</v>
      </c>
      <c r="B73" s="157" t="s">
        <v>231</v>
      </c>
      <c r="C73" s="8">
        <v>1</v>
      </c>
      <c r="D73" s="52" t="s">
        <v>323</v>
      </c>
      <c r="E73" s="52" t="str">
        <f t="shared" si="75"/>
        <v>ticoap01</v>
      </c>
      <c r="F73" s="9" t="s">
        <v>244</v>
      </c>
      <c r="G73" s="33" t="str">
        <f>VLOOKUP(F73,'Domain별 코드 체계'!$B$5:$J$29,7,0)</f>
        <v>WO11</v>
      </c>
      <c r="H73" s="126" t="s">
        <v>318</v>
      </c>
      <c r="I73" s="10" t="str">
        <f t="shared" si="66"/>
        <v>T-WO11-O</v>
      </c>
      <c r="J73" s="135" t="s">
        <v>319</v>
      </c>
      <c r="K73" s="157">
        <v>1</v>
      </c>
      <c r="L73" s="57" t="str">
        <f t="shared" si="67"/>
        <v>T-WO11-O-F11</v>
      </c>
      <c r="M73" s="57" t="str">
        <f t="shared" si="68"/>
        <v>T-WO11-O-A11</v>
      </c>
      <c r="N73" s="57">
        <f t="shared" si="69"/>
        <v>2048</v>
      </c>
      <c r="O73" s="57">
        <f t="shared" si="70"/>
        <v>768</v>
      </c>
      <c r="P73" s="57">
        <f t="shared" si="71"/>
        <v>768</v>
      </c>
      <c r="Q73" s="57">
        <f t="shared" si="72"/>
        <v>512</v>
      </c>
      <c r="R73" s="57">
        <f t="shared" si="73"/>
        <v>512</v>
      </c>
      <c r="S73" s="157" t="s">
        <v>80</v>
      </c>
      <c r="T73" s="126" t="str">
        <f t="shared" si="76"/>
        <v>/was/jboss7/domains/T-WO11-O/T-WO11-O-F11</v>
      </c>
      <c r="U73" s="57" t="str">
        <f t="shared" si="77"/>
        <v>/wo1/wo11/wasApp</v>
      </c>
      <c r="V73" s="52" t="str">
        <f t="shared" si="74"/>
        <v>/log/jboss7/T-WO11-O/T-WO11-O-F11</v>
      </c>
      <c r="W73" s="57"/>
      <c r="X73" s="57"/>
      <c r="Y73" s="57"/>
      <c r="Z73" s="57" t="str">
        <f>"http://40.10.22.156:"&amp;VLOOKUP(L73,'WAS Instance'!$M$7:$T$98,6,0)&amp;"/console"</f>
        <v>http://40.10.22.156:15111/console</v>
      </c>
      <c r="AA73" s="160" t="s">
        <v>418</v>
      </c>
      <c r="AB73" s="178" t="s">
        <v>5</v>
      </c>
      <c r="AC73" s="181" t="str">
        <f t="shared" si="14"/>
        <v>/web/jws3/domains/T-WO11-O/T-WO11-O-F11</v>
      </c>
      <c r="AD73" s="57" t="str">
        <f t="shared" si="78"/>
        <v>/wo1/wo11/webApp</v>
      </c>
      <c r="AE73" s="57" t="str">
        <f t="shared" si="13"/>
        <v>/log/jws3/T-WO11-O/T-WO11-O-F11</v>
      </c>
      <c r="AF73" s="57"/>
      <c r="AG73" s="57"/>
      <c r="AH73" s="57"/>
      <c r="AI73" s="160" t="s">
        <v>419</v>
      </c>
      <c r="AJ73" s="57"/>
      <c r="AK73" s="209" t="s">
        <v>699</v>
      </c>
    </row>
    <row r="74" spans="1:37" s="51" customFormat="1" ht="16.5" customHeight="1" x14ac:dyDescent="0.3">
      <c r="A74" s="8" t="s">
        <v>40</v>
      </c>
      <c r="B74" s="157" t="s">
        <v>231</v>
      </c>
      <c r="C74" s="8">
        <v>1</v>
      </c>
      <c r="D74" s="52" t="s">
        <v>323</v>
      </c>
      <c r="E74" s="52" t="str">
        <f t="shared" si="75"/>
        <v>ticoap01</v>
      </c>
      <c r="F74" s="9" t="s">
        <v>245</v>
      </c>
      <c r="G74" s="33" t="str">
        <f>VLOOKUP(F74,'Domain별 코드 체계'!$B$5:$J$29,7,0)</f>
        <v>WO12</v>
      </c>
      <c r="H74" s="126" t="s">
        <v>318</v>
      </c>
      <c r="I74" s="10" t="str">
        <f t="shared" si="66"/>
        <v>T-WO12-O</v>
      </c>
      <c r="J74" s="135" t="s">
        <v>308</v>
      </c>
      <c r="K74" s="157">
        <v>1</v>
      </c>
      <c r="L74" s="57" t="str">
        <f t="shared" si="67"/>
        <v>T-WO12-O-S11</v>
      </c>
      <c r="M74" s="57" t="str">
        <f t="shared" si="68"/>
        <v>T-WO12-O-A11</v>
      </c>
      <c r="N74" s="57">
        <f t="shared" si="69"/>
        <v>1024</v>
      </c>
      <c r="O74" s="57">
        <f t="shared" si="70"/>
        <v>256</v>
      </c>
      <c r="P74" s="57">
        <f t="shared" si="71"/>
        <v>256</v>
      </c>
      <c r="Q74" s="57">
        <f t="shared" si="72"/>
        <v>256</v>
      </c>
      <c r="R74" s="57">
        <f t="shared" si="73"/>
        <v>256</v>
      </c>
      <c r="S74" s="157" t="s">
        <v>80</v>
      </c>
      <c r="T74" s="126" t="str">
        <f t="shared" si="76"/>
        <v>/was/jboss7/domains/T-WO12-O/T-WO12-O-S11</v>
      </c>
      <c r="U74" s="57" t="str">
        <f t="shared" si="77"/>
        <v>/wo1/wo12/wasApp</v>
      </c>
      <c r="V74" s="52" t="str">
        <f t="shared" si="74"/>
        <v>/log/jboss7/T-WO12-O/T-WO12-O-S11</v>
      </c>
      <c r="W74" s="57"/>
      <c r="X74" s="57"/>
      <c r="Y74" s="57"/>
      <c r="Z74" s="57" t="str">
        <f>"http://40.10.22.156:"&amp;VLOOKUP(L74,'WAS Instance'!$M$7:$T$98,6,0)&amp;"/console"</f>
        <v>http://40.10.22.156:15129/console</v>
      </c>
      <c r="AA74" s="160" t="s">
        <v>418</v>
      </c>
      <c r="AB74" s="178" t="s">
        <v>5</v>
      </c>
      <c r="AC74" s="181" t="str">
        <f t="shared" si="14"/>
        <v>/web/jws3/domains/T-WO12-O/T-WO12-O-S11</v>
      </c>
      <c r="AD74" s="57" t="str">
        <f t="shared" si="78"/>
        <v>/wo1/wo12/webApp</v>
      </c>
      <c r="AE74" s="57" t="str">
        <f t="shared" ref="AE74:AE91" si="79">CONCATENATE("/log/jws3/",I74,"/",L74)</f>
        <v>/log/jws3/T-WO12-O/T-WO12-O-S11</v>
      </c>
      <c r="AF74" s="57"/>
      <c r="AG74" s="57"/>
      <c r="AH74" s="57"/>
      <c r="AI74" s="160" t="s">
        <v>419</v>
      </c>
      <c r="AJ74" s="57"/>
      <c r="AK74" s="209" t="s">
        <v>699</v>
      </c>
    </row>
    <row r="75" spans="1:37" s="51" customFormat="1" ht="16.5" customHeight="1" x14ac:dyDescent="0.3">
      <c r="A75" s="8" t="s">
        <v>40</v>
      </c>
      <c r="B75" s="79" t="s">
        <v>231</v>
      </c>
      <c r="C75" s="8">
        <v>1</v>
      </c>
      <c r="D75" s="52" t="s">
        <v>323</v>
      </c>
      <c r="E75" s="52" t="str">
        <f t="shared" si="75"/>
        <v>ticoap01</v>
      </c>
      <c r="F75" s="9" t="s">
        <v>246</v>
      </c>
      <c r="G75" s="33" t="str">
        <f>VLOOKUP(F75,'Domain별 코드 체계'!$B$5:$J$29,7,0)</f>
        <v>WO13</v>
      </c>
      <c r="H75" s="126" t="s">
        <v>318</v>
      </c>
      <c r="I75" s="10" t="str">
        <f t="shared" si="66"/>
        <v>T-WO13-O</v>
      </c>
      <c r="J75" s="135" t="s">
        <v>308</v>
      </c>
      <c r="K75" s="157">
        <v>1</v>
      </c>
      <c r="L75" s="57" t="str">
        <f t="shared" si="67"/>
        <v>T-WO13-O-S11</v>
      </c>
      <c r="M75" s="57" t="str">
        <f t="shared" si="68"/>
        <v>T-WO13-O-A11</v>
      </c>
      <c r="N75" s="57">
        <f t="shared" si="69"/>
        <v>1024</v>
      </c>
      <c r="O75" s="57">
        <f t="shared" si="70"/>
        <v>256</v>
      </c>
      <c r="P75" s="57">
        <f t="shared" si="71"/>
        <v>256</v>
      </c>
      <c r="Q75" s="57">
        <f t="shared" si="72"/>
        <v>256</v>
      </c>
      <c r="R75" s="57">
        <f t="shared" si="73"/>
        <v>256</v>
      </c>
      <c r="S75" s="157" t="s">
        <v>80</v>
      </c>
      <c r="T75" s="126" t="str">
        <f t="shared" si="76"/>
        <v>/was/jboss7/domains/T-WO13-O/T-WO13-O-S11</v>
      </c>
      <c r="U75" s="57" t="str">
        <f t="shared" si="77"/>
        <v>/wo1/wo13/wasApp</v>
      </c>
      <c r="V75" s="52" t="str">
        <f t="shared" si="74"/>
        <v>/log/jboss7/T-WO13-O/T-WO13-O-S11</v>
      </c>
      <c r="W75" s="57"/>
      <c r="X75" s="57"/>
      <c r="Y75" s="57"/>
      <c r="Z75" s="57" t="str">
        <f>"http://40.10.22.156:"&amp;VLOOKUP(L75,'WAS Instance'!$M$7:$T$98,6,0)&amp;"/console"</f>
        <v>http://40.10.22.156:15139/console</v>
      </c>
      <c r="AA75" s="160" t="s">
        <v>418</v>
      </c>
      <c r="AB75" s="178" t="s">
        <v>5</v>
      </c>
      <c r="AC75" s="181" t="str">
        <f t="shared" ref="AC75:AC92" si="80">CONCATENATE("/web/jws3/domains/",I75,"/",L75)</f>
        <v>/web/jws3/domains/T-WO13-O/T-WO13-O-S11</v>
      </c>
      <c r="AD75" s="57" t="str">
        <f t="shared" si="78"/>
        <v>/wo1/wo13/webApp</v>
      </c>
      <c r="AE75" s="57" t="str">
        <f t="shared" si="79"/>
        <v>/log/jws3/T-WO13-O/T-WO13-O-S11</v>
      </c>
      <c r="AF75" s="57"/>
      <c r="AG75" s="57"/>
      <c r="AH75" s="57"/>
      <c r="AI75" s="160" t="s">
        <v>419</v>
      </c>
      <c r="AJ75" s="57"/>
      <c r="AK75" s="209" t="s">
        <v>699</v>
      </c>
    </row>
    <row r="76" spans="1:37" s="51" customFormat="1" ht="16.5" customHeight="1" x14ac:dyDescent="0.3">
      <c r="A76" s="8" t="s">
        <v>40</v>
      </c>
      <c r="B76" s="8" t="s">
        <v>233</v>
      </c>
      <c r="C76" s="8">
        <v>1</v>
      </c>
      <c r="D76" s="52" t="s">
        <v>323</v>
      </c>
      <c r="E76" s="52" t="str">
        <f t="shared" si="75"/>
        <v>ticoap01</v>
      </c>
      <c r="F76" s="9" t="s">
        <v>247</v>
      </c>
      <c r="G76" s="33" t="str">
        <f>VLOOKUP(F76,'Domain별 코드 체계'!$B$5:$J$29,7,0)</f>
        <v>PS91</v>
      </c>
      <c r="H76" s="126" t="s">
        <v>318</v>
      </c>
      <c r="I76" s="10" t="str">
        <f t="shared" si="66"/>
        <v>T-PS91-O</v>
      </c>
      <c r="J76" s="135" t="s">
        <v>319</v>
      </c>
      <c r="K76" s="157">
        <v>1</v>
      </c>
      <c r="L76" s="57" t="str">
        <f t="shared" si="67"/>
        <v>T-PS91-O-F11</v>
      </c>
      <c r="M76" s="57" t="str">
        <f t="shared" si="68"/>
        <v>T-PS91-O-A11</v>
      </c>
      <c r="N76" s="57">
        <f t="shared" si="69"/>
        <v>2048</v>
      </c>
      <c r="O76" s="57">
        <f t="shared" si="70"/>
        <v>768</v>
      </c>
      <c r="P76" s="57">
        <f t="shared" si="71"/>
        <v>768</v>
      </c>
      <c r="Q76" s="57">
        <f t="shared" si="72"/>
        <v>512</v>
      </c>
      <c r="R76" s="57">
        <f t="shared" si="73"/>
        <v>512</v>
      </c>
      <c r="S76" s="157" t="s">
        <v>80</v>
      </c>
      <c r="T76" s="126" t="str">
        <f t="shared" si="76"/>
        <v>/was/jboss7/domains/T-PS91-O/T-PS91-O-F11</v>
      </c>
      <c r="U76" s="57" t="str">
        <f>CONCATENATE("/",LOWER(B76),"/",LOWER(LEFT(G76,4)),"/wasApp")</f>
        <v>/ps9/ps91/wasApp</v>
      </c>
      <c r="V76" s="52" t="str">
        <f t="shared" si="74"/>
        <v>/log/jboss7/T-PS91-O/T-PS91-O-F11</v>
      </c>
      <c r="W76" s="57"/>
      <c r="X76" s="57"/>
      <c r="Y76" s="57"/>
      <c r="Z76" s="57" t="str">
        <f>"http://40.10.22.156:"&amp;VLOOKUP(L76,'WAS Instance'!$M$7:$T$98,6,0)&amp;"/console"</f>
        <v>http://40.10.22.156:15021/console</v>
      </c>
      <c r="AA76" s="160" t="s">
        <v>418</v>
      </c>
      <c r="AB76" s="178" t="s">
        <v>5</v>
      </c>
      <c r="AC76" s="181" t="str">
        <f t="shared" si="80"/>
        <v>/web/jws3/domains/T-PS91-O/T-PS91-O-F11</v>
      </c>
      <c r="AD76" s="57" t="str">
        <f t="shared" si="78"/>
        <v>/ps9/ps91/webApp</v>
      </c>
      <c r="AE76" s="57" t="str">
        <f t="shared" si="79"/>
        <v>/log/jws3/T-PS91-O/T-PS91-O-F11</v>
      </c>
      <c r="AF76" s="57"/>
      <c r="AG76" s="57"/>
      <c r="AH76" s="57"/>
      <c r="AI76" s="160" t="s">
        <v>419</v>
      </c>
      <c r="AJ76" s="57"/>
      <c r="AK76" s="209" t="s">
        <v>699</v>
      </c>
    </row>
    <row r="77" spans="1:37" s="51" customFormat="1" ht="16.5" customHeight="1" x14ac:dyDescent="0.3">
      <c r="A77" s="8" t="s">
        <v>40</v>
      </c>
      <c r="B77" s="75" t="s">
        <v>362</v>
      </c>
      <c r="C77" s="8">
        <v>1</v>
      </c>
      <c r="D77" s="52" t="s">
        <v>323</v>
      </c>
      <c r="E77" s="52" t="str">
        <f t="shared" ref="E77" si="81">CONCATENATE(A77,"ico","ap0",C77)</f>
        <v>ticoap01</v>
      </c>
      <c r="F77" s="73" t="s">
        <v>320</v>
      </c>
      <c r="G77" s="33" t="str">
        <f>VLOOKUP(F77,'Domain별 코드 체계'!$B$5:$J$29,7,0)</f>
        <v>VMS1</v>
      </c>
      <c r="H77" s="126" t="s">
        <v>5</v>
      </c>
      <c r="I77" s="10" t="str">
        <f t="shared" ref="I77" si="82">CONCATENATE(UPPER(IF(A77="d","P",A77)),"-",G77,"-",H77)</f>
        <v>T-VMS1-O</v>
      </c>
      <c r="J77" s="135" t="s">
        <v>319</v>
      </c>
      <c r="K77" s="184">
        <v>1</v>
      </c>
      <c r="L77" s="57" t="str">
        <f t="shared" ref="L77" si="83">CONCATENATE(I77,"-",J77,C77,K77)</f>
        <v>T-VMS1-O-F11</v>
      </c>
      <c r="M77" s="57" t="str">
        <f t="shared" ref="M77" si="84">IF(J77="A","",CONCATENATE(I77,"-A11"))</f>
        <v>T-VMS1-O-A11</v>
      </c>
      <c r="N77" s="57">
        <f t="shared" ref="N77" si="85">IF(J77="A",512,IF(J77="F",2048,IF(J77="S",1024)))</f>
        <v>2048</v>
      </c>
      <c r="O77" s="57">
        <f t="shared" ref="O77" si="86">IF(J77="A","",IF(J77="F",(N77/16)*6,IF(J77="S",N77/4)))</f>
        <v>768</v>
      </c>
      <c r="P77" s="57">
        <f t="shared" ref="P77" si="87">O77</f>
        <v>768</v>
      </c>
      <c r="Q77" s="57">
        <f t="shared" ref="Q77" si="88">IF(J77="A","",IF(J77="F",(N77/16)*4,IF(J77="S",N77/4)))</f>
        <v>512</v>
      </c>
      <c r="R77" s="57">
        <f t="shared" ref="R77" si="89">Q77</f>
        <v>512</v>
      </c>
      <c r="S77" s="184" t="s">
        <v>80</v>
      </c>
      <c r="T77" s="126" t="str">
        <f t="shared" ref="T77" si="90">CONCATENATE("/was/jboss7/domains/",I77,"/",L77)</f>
        <v>/was/jboss7/domains/T-VMS1-O/T-VMS1-O-F11</v>
      </c>
      <c r="U77" s="57" t="str">
        <f>CONCATENATE("/",LOWER(B77),"/",LOWER(LEFT(G77,4)),"/wasApp")</f>
        <v>/vms/vms1/wasApp</v>
      </c>
      <c r="V77" s="52" t="str">
        <f t="shared" ref="V77" si="91">CONCATENATE("/log/jboss7/",I77,"/",L77)</f>
        <v>/log/jboss7/T-VMS1-O/T-VMS1-O-F11</v>
      </c>
      <c r="W77" s="57"/>
      <c r="X77" s="57"/>
      <c r="Y77" s="57"/>
      <c r="Z77" s="57" t="str">
        <f>"http://40.10.22.156:"&amp;VLOOKUP(L77,'WAS Instance'!$M$7:$T$98,6,0)&amp;"/console"</f>
        <v>http://40.10.22.156:15121/console</v>
      </c>
      <c r="AA77" s="184" t="s">
        <v>418</v>
      </c>
      <c r="AB77" s="178" t="s">
        <v>5</v>
      </c>
      <c r="AC77" s="181" t="str">
        <f t="shared" ref="AC77" si="92">CONCATENATE("/web/jws3/domains/",I77,"/",L77)</f>
        <v>/web/jws3/domains/T-VMS1-O/T-VMS1-O-F11</v>
      </c>
      <c r="AD77" s="57" t="str">
        <f>CONCATENATE("/",LOWER(B77),"/",LOWER(LEFT(G77,4)),"/webApp")</f>
        <v>/vms/vms1/webApp</v>
      </c>
      <c r="AE77" s="57" t="str">
        <f t="shared" ref="AE77" si="93">CONCATENATE("/log/jws3/",I77,"/",L77)</f>
        <v>/log/jws3/T-VMS1-O/T-VMS1-O-F11</v>
      </c>
      <c r="AF77" s="57"/>
      <c r="AG77" s="57"/>
      <c r="AH77" s="57"/>
      <c r="AI77" s="184" t="s">
        <v>419</v>
      </c>
      <c r="AJ77" s="57"/>
      <c r="AK77" s="209" t="s">
        <v>699</v>
      </c>
    </row>
    <row r="78" spans="1:37" s="51" customFormat="1" ht="16.5" customHeight="1" x14ac:dyDescent="0.3">
      <c r="A78" s="8" t="s">
        <v>40</v>
      </c>
      <c r="B78" s="75" t="s">
        <v>477</v>
      </c>
      <c r="C78" s="8">
        <v>1</v>
      </c>
      <c r="D78" s="52" t="s">
        <v>323</v>
      </c>
      <c r="E78" s="52" t="str">
        <f t="shared" si="75"/>
        <v>ticoap01</v>
      </c>
      <c r="F78" s="73" t="s">
        <v>460</v>
      </c>
      <c r="G78" s="33" t="str">
        <f>VLOOKUP(F78,'Domain별 코드 체계'!$B$5:$J$30,7,0)</f>
        <v>SF11</v>
      </c>
      <c r="H78" s="126" t="s">
        <v>5</v>
      </c>
      <c r="I78" s="10" t="str">
        <f t="shared" si="66"/>
        <v>T-SF11-O</v>
      </c>
      <c r="J78" s="135" t="s">
        <v>319</v>
      </c>
      <c r="K78" s="157">
        <v>1</v>
      </c>
      <c r="L78" s="57" t="str">
        <f t="shared" si="67"/>
        <v>T-SF11-O-F11</v>
      </c>
      <c r="M78" s="57" t="str">
        <f t="shared" si="68"/>
        <v>T-SF11-O-A11</v>
      </c>
      <c r="N78" s="57">
        <f t="shared" si="69"/>
        <v>2048</v>
      </c>
      <c r="O78" s="57">
        <f t="shared" si="70"/>
        <v>768</v>
      </c>
      <c r="P78" s="57">
        <f t="shared" si="71"/>
        <v>768</v>
      </c>
      <c r="Q78" s="57">
        <f t="shared" si="72"/>
        <v>512</v>
      </c>
      <c r="R78" s="57">
        <f t="shared" si="73"/>
        <v>512</v>
      </c>
      <c r="S78" s="157" t="s">
        <v>80</v>
      </c>
      <c r="T78" s="126" t="str">
        <f t="shared" si="76"/>
        <v>/was/jboss7/domains/T-SF11-O/T-SF11-O-F11</v>
      </c>
      <c r="U78" s="57" t="str">
        <f>CONCATENATE("/",LOWER(B78),"/",LOWER(LEFT(G78,4)),"/wasApp")</f>
        <v>/sf1/sf11/wasApp</v>
      </c>
      <c r="V78" s="52" t="str">
        <f t="shared" si="74"/>
        <v>/log/jboss7/T-SF11-O/T-SF11-O-F11</v>
      </c>
      <c r="W78" s="57"/>
      <c r="X78" s="57"/>
      <c r="Y78" s="57"/>
      <c r="Z78" s="57" t="str">
        <f>"http://40.10.22.156:"&amp;VLOOKUP(L78,'WAS Instance'!$M$7:$T$98,6,0)&amp;"/console"</f>
        <v>http://40.10.22.156:13121/console</v>
      </c>
      <c r="AA78" s="160" t="s">
        <v>418</v>
      </c>
      <c r="AB78" s="178" t="s">
        <v>5</v>
      </c>
      <c r="AC78" s="181" t="str">
        <f t="shared" si="80"/>
        <v>/web/jws3/domains/T-SF11-O/T-SF11-O-F11</v>
      </c>
      <c r="AD78" s="57" t="str">
        <f>CONCATENATE("/",LOWER(B78),"/",LOWER(LEFT(G78,4)),"/webApp")</f>
        <v>/sf1/sf11/webApp</v>
      </c>
      <c r="AE78" s="57" t="str">
        <f t="shared" si="79"/>
        <v>/log/jws3/T-SF11-O/T-SF11-O-F11</v>
      </c>
      <c r="AF78" s="57"/>
      <c r="AG78" s="57"/>
      <c r="AH78" s="57"/>
      <c r="AI78" s="160" t="s">
        <v>419</v>
      </c>
      <c r="AJ78" s="57"/>
      <c r="AK78" s="209" t="s">
        <v>701</v>
      </c>
    </row>
    <row r="79" spans="1:37" s="51" customFormat="1" ht="6" customHeight="1" x14ac:dyDescent="0.3">
      <c r="A79" s="37" t="s">
        <v>39</v>
      </c>
      <c r="B79" s="38"/>
      <c r="C79" s="38"/>
      <c r="D79" s="53"/>
      <c r="E79" s="53"/>
      <c r="F79" s="53"/>
      <c r="G79" s="53"/>
      <c r="H79" s="53"/>
      <c r="I79" s="53"/>
      <c r="J79" s="38"/>
      <c r="K79" s="38"/>
      <c r="L79" s="53"/>
      <c r="M79" s="53"/>
      <c r="N79" s="53"/>
      <c r="O79" s="53"/>
      <c r="P79" s="53"/>
      <c r="Q79" s="53"/>
      <c r="R79" s="53"/>
      <c r="S79" s="53"/>
      <c r="T79" s="53" t="str">
        <f t="shared" ref="T79" si="94">CONCATENATE("/log/jboss7/domains/",I79,"/",L79)</f>
        <v>/log/jboss7/domains//</v>
      </c>
      <c r="U79" s="53"/>
      <c r="V79" s="53"/>
      <c r="W79" s="53"/>
      <c r="X79" s="53"/>
      <c r="Y79" s="53"/>
      <c r="Z79" s="53" t="e">
        <f>"http://40.10.22.156:"&amp;VLOOKUP(L79,'WAS Instance'!$M$7:$T$98,6,0)&amp;"/console"</f>
        <v>#N/A</v>
      </c>
      <c r="AA79" s="53"/>
      <c r="AB79" s="179"/>
      <c r="AC79" s="169" t="str">
        <f t="shared" si="80"/>
        <v>/web/jws3/domains//</v>
      </c>
      <c r="AD79" s="53" t="str">
        <f t="shared" ref="AD79:AD92" si="95">CONCATENATE("/",LOWER(B79),"/",LOWER(LEFT(G79,4)),"/webApps")</f>
        <v>///webApps</v>
      </c>
      <c r="AE79" s="53" t="str">
        <f t="shared" si="79"/>
        <v>/log/jws3//</v>
      </c>
      <c r="AF79" s="53"/>
      <c r="AG79" s="53"/>
      <c r="AH79" s="53"/>
      <c r="AI79" s="38" t="s">
        <v>419</v>
      </c>
      <c r="AJ79" s="53"/>
      <c r="AK79" s="53"/>
    </row>
    <row r="80" spans="1:37" s="51" customFormat="1" ht="16.5" customHeight="1" x14ac:dyDescent="0.3">
      <c r="A80" s="8" t="s">
        <v>345</v>
      </c>
      <c r="B80" s="8" t="s">
        <v>392</v>
      </c>
      <c r="C80" s="8">
        <v>1</v>
      </c>
      <c r="D80" s="52" t="s">
        <v>278</v>
      </c>
      <c r="E80" s="52" t="str">
        <f t="shared" ref="E80:E91" si="96">CONCATENATE(A80,"sfb","ap0",C80)</f>
        <v>dsfbap01</v>
      </c>
      <c r="F80" s="9" t="s">
        <v>413</v>
      </c>
      <c r="G80" s="33" t="str">
        <f>VLOOKUP(F80,'Domain별 코드 체계'!$B$5:$J$29,7,0)</f>
        <v>SV11</v>
      </c>
      <c r="H80" s="126" t="s">
        <v>5</v>
      </c>
      <c r="I80" s="10" t="str">
        <f>CONCATENATE(UPPER(IF(A80="d","D",A80)),"-",G80,"-",H80)</f>
        <v>D-SV11-O</v>
      </c>
      <c r="J80" s="136" t="s">
        <v>88</v>
      </c>
      <c r="K80" s="157">
        <v>1</v>
      </c>
      <c r="L80" s="57" t="str">
        <f t="shared" ref="L80:L91" si="97">CONCATENATE(I80,"-",J80,C80,K80)</f>
        <v>D-SV11-O-F11</v>
      </c>
      <c r="M80" s="57" t="str">
        <f t="shared" ref="M80:M91" si="98">IF(J80="A","",CONCATENATE(I80,"-A11"))</f>
        <v>D-SV11-O-A11</v>
      </c>
      <c r="N80" s="57">
        <f t="shared" ref="N80:N91" si="99">IF(J80="A",512,IF(J80="F",2048,IF(J80="S",1024)))</f>
        <v>2048</v>
      </c>
      <c r="O80" s="57">
        <f t="shared" ref="O80:O91" si="100">IF(J80="A","",IF(J80="F",(N80/16)*6,IF(J80="S",N80/4)))</f>
        <v>768</v>
      </c>
      <c r="P80" s="57">
        <f t="shared" ref="P80:P91" si="101">O80</f>
        <v>768</v>
      </c>
      <c r="Q80" s="57">
        <f t="shared" ref="Q80:Q91" si="102">IF(J80="A","",IF(J80="F",(N80/16)*4,IF(J80="S",N80/4)))</f>
        <v>512</v>
      </c>
      <c r="R80" s="57">
        <f t="shared" ref="R80:R91" si="103">Q80</f>
        <v>512</v>
      </c>
      <c r="S80" s="157" t="s">
        <v>80</v>
      </c>
      <c r="T80" s="57" t="str">
        <f>CONCATENATE("/was/jboss7/domains/",I80,"/",L80)</f>
        <v>/was/jboss7/domains/D-SV11-O/D-SV11-O-F11</v>
      </c>
      <c r="U80" s="57" t="str">
        <f>CONCATENATE("/",LOWER(B80),"/",LOWER(LEFT(G80,4)),"/wasApp")</f>
        <v>/sv1/sv11/wasApp</v>
      </c>
      <c r="V80" s="57" t="str">
        <f t="shared" ref="V80:V91" si="104">CONCATENATE("/log/jboss7/",I80,"/",L80)</f>
        <v>/log/jboss7/D-SV11-O/D-SV11-O-F11</v>
      </c>
      <c r="W80" s="157"/>
      <c r="X80" s="13"/>
      <c r="Y80" s="13"/>
      <c r="Z80" s="57" t="str">
        <f>"http://40.10.22.156:"&amp;VLOOKUP(L80,'WAS Instance'!$M$7:$T$98,6,0)&amp;"/console"</f>
        <v>http://40.10.22.156:13021/console</v>
      </c>
      <c r="AA80" s="57"/>
      <c r="AB80" s="170"/>
      <c r="AC80" s="162" t="str">
        <f t="shared" si="80"/>
        <v>/web/jws3/domains/D-SV11-O/D-SV11-O-F11</v>
      </c>
      <c r="AD80" s="57" t="str">
        <f>CONCATENATE("/",LOWER(B80),"/",LOWER(LEFT(G80,4)),"/webApp")</f>
        <v>/sv1/sv11/webApp</v>
      </c>
      <c r="AE80" s="57" t="str">
        <f t="shared" si="79"/>
        <v>/log/jws3/D-SV11-O/D-SV11-O-F11</v>
      </c>
      <c r="AF80" s="157"/>
      <c r="AG80" s="13"/>
      <c r="AH80" s="13"/>
      <c r="AI80" s="160" t="s">
        <v>419</v>
      </c>
      <c r="AJ80" s="57"/>
      <c r="AK80" s="209" t="s">
        <v>702</v>
      </c>
    </row>
    <row r="81" spans="1:37" s="51" customFormat="1" ht="16.5" customHeight="1" x14ac:dyDescent="0.3">
      <c r="A81" s="8" t="s">
        <v>345</v>
      </c>
      <c r="B81" s="8" t="s">
        <v>392</v>
      </c>
      <c r="C81" s="8">
        <v>1</v>
      </c>
      <c r="D81" s="52" t="s">
        <v>278</v>
      </c>
      <c r="E81" s="52" t="str">
        <f t="shared" si="96"/>
        <v>dsfbap01</v>
      </c>
      <c r="F81" s="9" t="s">
        <v>413</v>
      </c>
      <c r="G81" s="33" t="str">
        <f>VLOOKUP(F81,'Domain별 코드 체계'!$B$5:$J$29,7,0)</f>
        <v>SV11</v>
      </c>
      <c r="H81" s="126" t="s">
        <v>5</v>
      </c>
      <c r="I81" s="10" t="str">
        <f t="shared" ref="I81:I91" si="105">CONCATENATE(UPPER(IF(A81="d","D",A81)),"-",G81,"-",H81)</f>
        <v>D-SV11-O</v>
      </c>
      <c r="J81" s="136" t="s">
        <v>88</v>
      </c>
      <c r="K81" s="157">
        <v>2</v>
      </c>
      <c r="L81" s="199" t="str">
        <f t="shared" si="97"/>
        <v>D-SV11-O-F12</v>
      </c>
      <c r="M81" s="199" t="str">
        <f t="shared" si="98"/>
        <v>D-SV11-O-A11</v>
      </c>
      <c r="N81" s="199">
        <f t="shared" si="99"/>
        <v>2048</v>
      </c>
      <c r="O81" s="199">
        <f t="shared" si="100"/>
        <v>768</v>
      </c>
      <c r="P81" s="199">
        <f t="shared" si="101"/>
        <v>768</v>
      </c>
      <c r="Q81" s="199">
        <f t="shared" si="102"/>
        <v>512</v>
      </c>
      <c r="R81" s="199">
        <f t="shared" si="103"/>
        <v>512</v>
      </c>
      <c r="S81" s="198" t="s">
        <v>80</v>
      </c>
      <c r="T81" s="199" t="str">
        <f t="shared" ref="T81:T91" si="106">CONCATENATE("/was/jboss7/domains/",I81,"/",L81)</f>
        <v>/was/jboss7/domains/D-SV11-O/D-SV11-O-F12</v>
      </c>
      <c r="U81" s="199" t="str">
        <f>CONCATENATE("/",LOWER(B81),"/",LOWER(LEFT(G81,4)),"/wasApp")</f>
        <v>/sv1/sv11/wasApp</v>
      </c>
      <c r="V81" s="199" t="str">
        <f t="shared" si="104"/>
        <v>/log/jboss7/D-SV11-O/D-SV11-O-F12</v>
      </c>
      <c r="W81" s="198"/>
      <c r="X81" s="200"/>
      <c r="Y81" s="200"/>
      <c r="Z81" s="199" t="str">
        <f>"http://40.10.22.156:"&amp;VLOOKUP(L81,'WAS Instance'!$M$7:$T$98,6,0)&amp;"/console"</f>
        <v>http://40.10.22.156:13022/console</v>
      </c>
      <c r="AA81" s="57"/>
      <c r="AB81" s="170"/>
      <c r="AC81" s="162" t="str">
        <f t="shared" si="80"/>
        <v>/web/jws3/domains/D-SV11-O/D-SV11-O-F12</v>
      </c>
      <c r="AD81" s="57" t="str">
        <f>CONCATENATE("/",LOWER(B81),"/",LOWER(LEFT(G81,4)),"/webApp")</f>
        <v>/sv1/sv11/webApp</v>
      </c>
      <c r="AE81" s="57" t="str">
        <f t="shared" si="79"/>
        <v>/log/jws3/D-SV11-O/D-SV11-O-F12</v>
      </c>
      <c r="AF81" s="157"/>
      <c r="AG81" s="13"/>
      <c r="AH81" s="13"/>
      <c r="AI81" s="160" t="s">
        <v>419</v>
      </c>
      <c r="AJ81" s="57"/>
      <c r="AK81" s="209" t="s">
        <v>701</v>
      </c>
    </row>
    <row r="82" spans="1:37" s="51" customFormat="1" ht="16.5" customHeight="1" x14ac:dyDescent="0.3">
      <c r="A82" s="8" t="s">
        <v>345</v>
      </c>
      <c r="B82" s="8" t="s">
        <v>392</v>
      </c>
      <c r="C82" s="8">
        <v>1</v>
      </c>
      <c r="D82" s="52" t="s">
        <v>278</v>
      </c>
      <c r="E82" s="52" t="str">
        <f t="shared" si="96"/>
        <v>dsfbap01</v>
      </c>
      <c r="F82" s="9" t="s">
        <v>396</v>
      </c>
      <c r="G82" s="33" t="str">
        <f>VLOOKUP(F82,'Domain별 코드 체계'!$B$5:$J$29,7,0)</f>
        <v>SV12</v>
      </c>
      <c r="H82" s="126" t="s">
        <v>5</v>
      </c>
      <c r="I82" s="10" t="str">
        <f t="shared" si="105"/>
        <v>D-SV12-O</v>
      </c>
      <c r="J82" s="136" t="s">
        <v>308</v>
      </c>
      <c r="K82" s="157">
        <v>1</v>
      </c>
      <c r="L82" s="57" t="str">
        <f t="shared" si="97"/>
        <v>D-SV12-O-S11</v>
      </c>
      <c r="M82" s="57" t="str">
        <f t="shared" si="98"/>
        <v>D-SV12-O-A11</v>
      </c>
      <c r="N82" s="57">
        <f t="shared" si="99"/>
        <v>1024</v>
      </c>
      <c r="O82" s="57">
        <f t="shared" si="100"/>
        <v>256</v>
      </c>
      <c r="P82" s="57">
        <f t="shared" si="101"/>
        <v>256</v>
      </c>
      <c r="Q82" s="57">
        <f t="shared" si="102"/>
        <v>256</v>
      </c>
      <c r="R82" s="57">
        <f t="shared" si="103"/>
        <v>256</v>
      </c>
      <c r="S82" s="157" t="s">
        <v>80</v>
      </c>
      <c r="T82" s="57" t="str">
        <f t="shared" si="106"/>
        <v>/was/jboss7/domains/D-SV12-O/D-SV12-O-S11</v>
      </c>
      <c r="U82" s="57" t="str">
        <f t="shared" ref="U82:U84" si="107">CONCATENATE("/",LOWER(B82),"/",LOWER(LEFT(G82,4)),"/wasApp")</f>
        <v>/sv1/sv12/wasApp</v>
      </c>
      <c r="V82" s="57" t="str">
        <f t="shared" si="104"/>
        <v>/log/jboss7/D-SV12-O/D-SV12-O-S11</v>
      </c>
      <c r="W82" s="157"/>
      <c r="X82" s="13"/>
      <c r="Y82" s="13"/>
      <c r="Z82" s="57" t="str">
        <f>"http://40.10.22.156:"&amp;VLOOKUP(L82,'WAS Instance'!$M$7:$T$98,6,0)&amp;"/console"</f>
        <v>http://40.10.22.156:13039/console</v>
      </c>
      <c r="AA82" s="57"/>
      <c r="AB82" s="170"/>
      <c r="AC82" s="162" t="str">
        <f t="shared" si="80"/>
        <v>/web/jws3/domains/D-SV12-O/D-SV12-O-S11</v>
      </c>
      <c r="AD82" s="57" t="str">
        <f t="shared" ref="AD82:AD84" si="108">CONCATENATE("/",LOWER(B82),"/",LOWER(LEFT(G82,4)),"/webApp")</f>
        <v>/sv1/sv12/webApp</v>
      </c>
      <c r="AE82" s="57" t="str">
        <f t="shared" si="79"/>
        <v>/log/jws3/D-SV12-O/D-SV12-O-S11</v>
      </c>
      <c r="AF82" s="157"/>
      <c r="AG82" s="13"/>
      <c r="AH82" s="13"/>
      <c r="AI82" s="160" t="s">
        <v>419</v>
      </c>
      <c r="AJ82" s="57"/>
      <c r="AK82" s="209" t="s">
        <v>702</v>
      </c>
    </row>
    <row r="83" spans="1:37" s="51" customFormat="1" ht="16.5" customHeight="1" x14ac:dyDescent="0.3">
      <c r="A83" s="8" t="s">
        <v>345</v>
      </c>
      <c r="B83" s="8" t="s">
        <v>392</v>
      </c>
      <c r="C83" s="8">
        <v>1</v>
      </c>
      <c r="D83" s="52" t="s">
        <v>278</v>
      </c>
      <c r="E83" s="52" t="str">
        <f t="shared" si="96"/>
        <v>dsfbap01</v>
      </c>
      <c r="F83" s="9" t="s">
        <v>416</v>
      </c>
      <c r="G83" s="33" t="str">
        <f>VLOOKUP(F83,'Domain별 코드 체계'!$B$5:$J$29,7,0)</f>
        <v>SV13</v>
      </c>
      <c r="H83" s="126" t="s">
        <v>5</v>
      </c>
      <c r="I83" s="10" t="str">
        <f t="shared" si="105"/>
        <v>D-SV13-O</v>
      </c>
      <c r="J83" s="136" t="s">
        <v>319</v>
      </c>
      <c r="K83" s="157">
        <v>1</v>
      </c>
      <c r="L83" s="57" t="str">
        <f t="shared" si="97"/>
        <v>D-SV13-O-F11</v>
      </c>
      <c r="M83" s="57" t="str">
        <f t="shared" si="98"/>
        <v>D-SV13-O-A11</v>
      </c>
      <c r="N83" s="57">
        <f t="shared" si="99"/>
        <v>2048</v>
      </c>
      <c r="O83" s="57">
        <f t="shared" si="100"/>
        <v>768</v>
      </c>
      <c r="P83" s="57">
        <f t="shared" si="101"/>
        <v>768</v>
      </c>
      <c r="Q83" s="57">
        <f t="shared" si="102"/>
        <v>512</v>
      </c>
      <c r="R83" s="57">
        <f t="shared" si="103"/>
        <v>512</v>
      </c>
      <c r="S83" s="157" t="s">
        <v>56</v>
      </c>
      <c r="T83" s="57" t="str">
        <f t="shared" si="106"/>
        <v>/was/jboss7/domains/D-SV13-O/D-SV13-O-F11</v>
      </c>
      <c r="U83" s="57" t="str">
        <f t="shared" si="107"/>
        <v>/sv1/sv13/wasApp</v>
      </c>
      <c r="V83" s="57" t="str">
        <f t="shared" si="104"/>
        <v>/log/jboss7/D-SV13-O/D-SV13-O-F11</v>
      </c>
      <c r="W83" s="157"/>
      <c r="X83" s="13"/>
      <c r="Y83" s="13"/>
      <c r="Z83" s="57" t="str">
        <f>"http://40.10.22.156:"&amp;VLOOKUP(L83,'WAS Instance'!$M$7:$T$98,6,0)&amp;"/console"</f>
        <v>http://40.10.22.156:13041/console</v>
      </c>
      <c r="AA83" s="57"/>
      <c r="AB83" s="170"/>
      <c r="AC83" s="162" t="str">
        <f t="shared" si="80"/>
        <v>/web/jws3/domains/D-SV13-O/D-SV13-O-F11</v>
      </c>
      <c r="AD83" s="57" t="str">
        <f t="shared" si="108"/>
        <v>/sv1/sv13/webApp</v>
      </c>
      <c r="AE83" s="57" t="str">
        <f t="shared" si="79"/>
        <v>/log/jws3/D-SV13-O/D-SV13-O-F11</v>
      </c>
      <c r="AF83" s="157"/>
      <c r="AG83" s="13"/>
      <c r="AH83" s="13"/>
      <c r="AI83" s="160" t="s">
        <v>419</v>
      </c>
      <c r="AJ83" s="57"/>
      <c r="AK83" s="209" t="s">
        <v>702</v>
      </c>
    </row>
    <row r="84" spans="1:37" s="51" customFormat="1" ht="16.5" customHeight="1" thickBot="1" x14ac:dyDescent="0.35">
      <c r="A84" s="8" t="s">
        <v>345</v>
      </c>
      <c r="B84" s="75" t="s">
        <v>392</v>
      </c>
      <c r="C84" s="75">
        <v>1</v>
      </c>
      <c r="D84" s="76" t="s">
        <v>278</v>
      </c>
      <c r="E84" s="76" t="str">
        <f t="shared" ref="E84" si="109">CONCATENATE(A84,"sfb","ap0",C84)</f>
        <v>dsfbap01</v>
      </c>
      <c r="F84" s="73" t="s">
        <v>414</v>
      </c>
      <c r="G84" s="77" t="str">
        <f>VLOOKUP(F84,'Domain별 코드 체계'!$B$5:$J$29,7,0)</f>
        <v>SV14</v>
      </c>
      <c r="H84" s="127" t="s">
        <v>318</v>
      </c>
      <c r="I84" s="10" t="str">
        <f t="shared" ref="I84" si="110">CONCATENATE(UPPER(IF(A84="d","D",A84)),"-",G84,"-",H84)</f>
        <v>D-SV14-O</v>
      </c>
      <c r="J84" s="137" t="s">
        <v>308</v>
      </c>
      <c r="K84" s="79">
        <v>1</v>
      </c>
      <c r="L84" s="80" t="str">
        <f t="shared" ref="L84" si="111">CONCATENATE(I84,"-",J84,C84,K84)</f>
        <v>D-SV14-O-S11</v>
      </c>
      <c r="M84" s="80" t="str">
        <f t="shared" ref="M84" si="112">IF(J84="A","",CONCATENATE(I84,"-A11"))</f>
        <v>D-SV14-O-A11</v>
      </c>
      <c r="N84" s="80">
        <f t="shared" ref="N84" si="113">IF(J84="A",512,IF(J84="F",2048,IF(J84="S",1024)))</f>
        <v>1024</v>
      </c>
      <c r="O84" s="80">
        <f t="shared" ref="O84" si="114">IF(J84="A","",IF(J84="F",(N84/16)*6,IF(J84="S",N84/4)))</f>
        <v>256</v>
      </c>
      <c r="P84" s="80">
        <f t="shared" ref="P84" si="115">O84</f>
        <v>256</v>
      </c>
      <c r="Q84" s="80">
        <f t="shared" ref="Q84" si="116">IF(J84="A","",IF(J84="F",(N84/16)*4,IF(J84="S",N84/4)))</f>
        <v>256</v>
      </c>
      <c r="R84" s="80">
        <f t="shared" ref="R84" si="117">Q84</f>
        <v>256</v>
      </c>
      <c r="S84" s="79" t="s">
        <v>80</v>
      </c>
      <c r="T84" s="109" t="str">
        <f t="shared" ref="T84" si="118">CONCATENATE("/was/jboss7/domains/",I84,"/",L84)</f>
        <v>/was/jboss7/domains/D-SV14-O/D-SV14-O-S11</v>
      </c>
      <c r="U84" s="109" t="str">
        <f t="shared" si="107"/>
        <v>/sv1/sv14/wasApp</v>
      </c>
      <c r="V84" s="80" t="str">
        <f t="shared" ref="V84" si="119">CONCATENATE("/log/jboss7/",I84,"/",L84)</f>
        <v>/log/jboss7/D-SV14-O/D-SV14-O-S11</v>
      </c>
      <c r="W84" s="79"/>
      <c r="X84" s="82"/>
      <c r="Y84" s="82"/>
      <c r="Z84" s="80" t="str">
        <f>"http://40.10.22.156:"&amp;VLOOKUP(L84,'WAS Instance'!$M$7:$T$98,6,0)&amp;"/console"</f>
        <v>http://40.10.22.156:13059/console</v>
      </c>
      <c r="AA84" s="80"/>
      <c r="AB84" s="171"/>
      <c r="AC84" s="167" t="str">
        <f t="shared" ref="AC84" si="120">CONCATENATE("/web/jws3/domains/",I84,"/",L84)</f>
        <v>/web/jws3/domains/D-SV14-O/D-SV14-O-S11</v>
      </c>
      <c r="AD84" s="109" t="str">
        <f t="shared" si="108"/>
        <v>/sv1/sv14/webApp</v>
      </c>
      <c r="AE84" s="109" t="str">
        <f t="shared" ref="AE84" si="121">CONCATENATE("/log/jws3/",I84,"/",L84)</f>
        <v>/log/jws3/D-SV14-O/D-SV14-O-S11</v>
      </c>
      <c r="AF84" s="79"/>
      <c r="AG84" s="82"/>
      <c r="AH84" s="82"/>
      <c r="AI84" s="79" t="s">
        <v>419</v>
      </c>
      <c r="AJ84" s="80"/>
      <c r="AK84" s="79" t="s">
        <v>702</v>
      </c>
    </row>
    <row r="85" spans="1:37" s="51" customFormat="1" ht="16.5" customHeight="1" thickBot="1" x14ac:dyDescent="0.35">
      <c r="A85" s="8" t="s">
        <v>345</v>
      </c>
      <c r="B85" s="75" t="s">
        <v>455</v>
      </c>
      <c r="C85" s="75">
        <v>1</v>
      </c>
      <c r="D85" s="76" t="s">
        <v>278</v>
      </c>
      <c r="E85" s="76" t="str">
        <f t="shared" si="96"/>
        <v>dsfbap01</v>
      </c>
      <c r="F85" s="73" t="s">
        <v>460</v>
      </c>
      <c r="G85" s="77" t="str">
        <f>VLOOKUP(F85,'Domain별 코드 체계'!$B$5:$J$30,7,0)</f>
        <v>SF11</v>
      </c>
      <c r="H85" s="127" t="s">
        <v>318</v>
      </c>
      <c r="I85" s="10" t="str">
        <f t="shared" si="105"/>
        <v>D-SF11-O</v>
      </c>
      <c r="J85" s="137" t="s">
        <v>88</v>
      </c>
      <c r="K85" s="79">
        <v>1</v>
      </c>
      <c r="L85" s="80" t="str">
        <f t="shared" si="97"/>
        <v>D-SF11-O-F11</v>
      </c>
      <c r="M85" s="80" t="str">
        <f t="shared" si="98"/>
        <v>D-SF11-O-A11</v>
      </c>
      <c r="N85" s="80">
        <f t="shared" si="99"/>
        <v>2048</v>
      </c>
      <c r="O85" s="80">
        <f t="shared" si="100"/>
        <v>768</v>
      </c>
      <c r="P85" s="80">
        <f t="shared" si="101"/>
        <v>768</v>
      </c>
      <c r="Q85" s="80">
        <f t="shared" si="102"/>
        <v>512</v>
      </c>
      <c r="R85" s="80">
        <f t="shared" si="103"/>
        <v>512</v>
      </c>
      <c r="S85" s="79" t="s">
        <v>80</v>
      </c>
      <c r="T85" s="109" t="str">
        <f t="shared" si="106"/>
        <v>/was/jboss7/domains/D-SF11-O/D-SF11-O-F11</v>
      </c>
      <c r="U85" s="109" t="str">
        <f t="shared" ref="U85:U91" si="122">CONCATENATE("/",LOWER(B85),"/",LOWER(LEFT(G85,4)),"/wasApp")</f>
        <v>/sf1/sf11/wasApp</v>
      </c>
      <c r="V85" s="80" t="str">
        <f t="shared" si="104"/>
        <v>/log/jboss7/D-SF11-O/D-SF11-O-F11</v>
      </c>
      <c r="W85" s="79"/>
      <c r="X85" s="82"/>
      <c r="Y85" s="82"/>
      <c r="Z85" s="80" t="str">
        <f>"http://40.10.22.156:"&amp;VLOOKUP(L85,'WAS Instance'!$M$7:$T$98,6,0)&amp;"/console"</f>
        <v>http://40.10.22.156:13121/console</v>
      </c>
      <c r="AA85" s="80"/>
      <c r="AB85" s="171"/>
      <c r="AC85" s="167" t="str">
        <f t="shared" si="80"/>
        <v>/web/jws3/domains/D-SF11-O/D-SF11-O-F11</v>
      </c>
      <c r="AD85" s="109" t="str">
        <f t="shared" ref="AD85:AD91" si="123">CONCATENATE("/",LOWER(B85),"/",LOWER(LEFT(G85,4)),"/webApp")</f>
        <v>/sf1/sf11/webApp</v>
      </c>
      <c r="AE85" s="109" t="str">
        <f t="shared" si="79"/>
        <v>/log/jws3/D-SF11-O/D-SF11-O-F11</v>
      </c>
      <c r="AF85" s="79"/>
      <c r="AG85" s="82"/>
      <c r="AH85" s="82"/>
      <c r="AI85" s="79" t="s">
        <v>419</v>
      </c>
      <c r="AJ85" s="80"/>
      <c r="AK85" s="79" t="s">
        <v>701</v>
      </c>
    </row>
    <row r="86" spans="1:37" s="51" customFormat="1" ht="16.5" customHeight="1" x14ac:dyDescent="0.3">
      <c r="A86" s="90" t="s">
        <v>478</v>
      </c>
      <c r="B86" s="90" t="s">
        <v>392</v>
      </c>
      <c r="C86" s="90">
        <v>2</v>
      </c>
      <c r="D86" s="91" t="s">
        <v>286</v>
      </c>
      <c r="E86" s="91" t="str">
        <f t="shared" si="96"/>
        <v>dsfbap02</v>
      </c>
      <c r="F86" s="92" t="s">
        <v>413</v>
      </c>
      <c r="G86" s="93" t="str">
        <f>VLOOKUP(F86,'Domain별 코드 체계'!$B$5:$J$29,7,0)</f>
        <v>SV11</v>
      </c>
      <c r="H86" s="128" t="s">
        <v>5</v>
      </c>
      <c r="I86" s="10" t="str">
        <f t="shared" si="105"/>
        <v>D-SV11-O</v>
      </c>
      <c r="J86" s="138" t="s">
        <v>88</v>
      </c>
      <c r="K86" s="95">
        <v>1</v>
      </c>
      <c r="L86" s="96" t="str">
        <f t="shared" si="97"/>
        <v>D-SV11-O-F21</v>
      </c>
      <c r="M86" s="96" t="str">
        <f t="shared" si="98"/>
        <v>D-SV11-O-A11</v>
      </c>
      <c r="N86" s="96">
        <f t="shared" si="99"/>
        <v>2048</v>
      </c>
      <c r="O86" s="96">
        <f t="shared" si="100"/>
        <v>768</v>
      </c>
      <c r="P86" s="96">
        <f t="shared" si="101"/>
        <v>768</v>
      </c>
      <c r="Q86" s="96">
        <f t="shared" si="102"/>
        <v>512</v>
      </c>
      <c r="R86" s="96">
        <f t="shared" si="103"/>
        <v>512</v>
      </c>
      <c r="S86" s="95" t="s">
        <v>80</v>
      </c>
      <c r="T86" s="143" t="str">
        <f t="shared" si="106"/>
        <v>/was/jboss7/domains/D-SV11-O/D-SV11-O-F21</v>
      </c>
      <c r="U86" s="143" t="str">
        <f t="shared" si="122"/>
        <v>/sv1/sv11/wasApp</v>
      </c>
      <c r="V86" s="96" t="str">
        <f t="shared" si="104"/>
        <v>/log/jboss7/D-SV11-O/D-SV11-O-F21</v>
      </c>
      <c r="W86" s="95"/>
      <c r="X86" s="98"/>
      <c r="Y86" s="98"/>
      <c r="Z86" s="96" t="str">
        <f>"http://40.10.22.156:"&amp;VLOOKUP(L86,'WAS Instance'!$M$7:$T$98,6,0)&amp;"/console"</f>
        <v>http://40.10.22.156:13021/console</v>
      </c>
      <c r="AA86" s="96"/>
      <c r="AB86" s="176"/>
      <c r="AC86" s="168" t="str">
        <f t="shared" si="80"/>
        <v>/web/jws3/domains/D-SV11-O/D-SV11-O-F21</v>
      </c>
      <c r="AD86" s="143" t="str">
        <f t="shared" si="123"/>
        <v>/sv1/sv11/webApp</v>
      </c>
      <c r="AE86" s="143" t="str">
        <f t="shared" si="79"/>
        <v>/log/jws3/D-SV11-O/D-SV11-O-F21</v>
      </c>
      <c r="AF86" s="95"/>
      <c r="AG86" s="98"/>
      <c r="AH86" s="98"/>
      <c r="AI86" s="95" t="s">
        <v>419</v>
      </c>
      <c r="AJ86" s="96"/>
      <c r="AK86" s="256" t="s">
        <v>702</v>
      </c>
    </row>
    <row r="87" spans="1:37" s="51" customFormat="1" ht="16.5" customHeight="1" x14ac:dyDescent="0.3">
      <c r="A87" s="8" t="s">
        <v>345</v>
      </c>
      <c r="B87" s="8" t="s">
        <v>392</v>
      </c>
      <c r="C87" s="8">
        <v>2</v>
      </c>
      <c r="D87" s="52" t="s">
        <v>286</v>
      </c>
      <c r="E87" s="52" t="str">
        <f t="shared" si="96"/>
        <v>dsfbap02</v>
      </c>
      <c r="F87" s="9" t="s">
        <v>413</v>
      </c>
      <c r="G87" s="33" t="str">
        <f>VLOOKUP(F87,'Domain별 코드 체계'!$B$5:$J$29,7,0)</f>
        <v>SV11</v>
      </c>
      <c r="H87" s="126" t="s">
        <v>5</v>
      </c>
      <c r="I87" s="10" t="str">
        <f t="shared" si="105"/>
        <v>D-SV11-O</v>
      </c>
      <c r="J87" s="136" t="s">
        <v>88</v>
      </c>
      <c r="K87" s="157">
        <v>2</v>
      </c>
      <c r="L87" s="199" t="str">
        <f t="shared" si="97"/>
        <v>D-SV11-O-F22</v>
      </c>
      <c r="M87" s="199" t="str">
        <f t="shared" si="98"/>
        <v>D-SV11-O-A11</v>
      </c>
      <c r="N87" s="199">
        <f t="shared" si="99"/>
        <v>2048</v>
      </c>
      <c r="O87" s="199">
        <f t="shared" si="100"/>
        <v>768</v>
      </c>
      <c r="P87" s="199">
        <f t="shared" si="101"/>
        <v>768</v>
      </c>
      <c r="Q87" s="199">
        <f t="shared" si="102"/>
        <v>512</v>
      </c>
      <c r="R87" s="199">
        <f t="shared" si="103"/>
        <v>512</v>
      </c>
      <c r="S87" s="198" t="s">
        <v>80</v>
      </c>
      <c r="T87" s="199" t="str">
        <f t="shared" si="106"/>
        <v>/was/jboss7/domains/D-SV11-O/D-SV11-O-F22</v>
      </c>
      <c r="U87" s="199" t="str">
        <f t="shared" si="122"/>
        <v>/sv1/sv11/wasApp</v>
      </c>
      <c r="V87" s="199" t="str">
        <f t="shared" si="104"/>
        <v>/log/jboss7/D-SV11-O/D-SV11-O-F22</v>
      </c>
      <c r="W87" s="198"/>
      <c r="X87" s="200"/>
      <c r="Y87" s="200"/>
      <c r="Z87" s="199" t="str">
        <f>"http://40.10.22.156:"&amp;VLOOKUP(L87,'WAS Instance'!$M$7:$T$98,6,0)&amp;"/console"</f>
        <v>http://40.10.22.156:13022/console</v>
      </c>
      <c r="AA87" s="57"/>
      <c r="AB87" s="170"/>
      <c r="AC87" s="162" t="str">
        <f t="shared" si="80"/>
        <v>/web/jws3/domains/D-SV11-O/D-SV11-O-F22</v>
      </c>
      <c r="AD87" s="57" t="str">
        <f t="shared" si="123"/>
        <v>/sv1/sv11/webApp</v>
      </c>
      <c r="AE87" s="57" t="str">
        <f t="shared" si="79"/>
        <v>/log/jws3/D-SV11-O/D-SV11-O-F22</v>
      </c>
      <c r="AF87" s="157"/>
      <c r="AG87" s="13"/>
      <c r="AH87" s="13"/>
      <c r="AI87" s="160" t="s">
        <v>419</v>
      </c>
      <c r="AJ87" s="57"/>
      <c r="AK87" s="159" t="s">
        <v>701</v>
      </c>
    </row>
    <row r="88" spans="1:37" s="51" customFormat="1" ht="16.5" customHeight="1" x14ac:dyDescent="0.3">
      <c r="A88" s="8" t="s">
        <v>345</v>
      </c>
      <c r="B88" s="8" t="s">
        <v>392</v>
      </c>
      <c r="C88" s="8">
        <v>2</v>
      </c>
      <c r="D88" s="52" t="s">
        <v>286</v>
      </c>
      <c r="E88" s="52" t="str">
        <f t="shared" si="96"/>
        <v>dsfbap02</v>
      </c>
      <c r="F88" s="9" t="s">
        <v>399</v>
      </c>
      <c r="G88" s="33" t="str">
        <f>VLOOKUP(F88,'Domain별 코드 체계'!$B$5:$J$29,7,0)</f>
        <v>SV12</v>
      </c>
      <c r="H88" s="126" t="s">
        <v>5</v>
      </c>
      <c r="I88" s="10" t="str">
        <f t="shared" si="105"/>
        <v>D-SV12-O</v>
      </c>
      <c r="J88" s="136" t="s">
        <v>308</v>
      </c>
      <c r="K88" s="157">
        <v>1</v>
      </c>
      <c r="L88" s="57" t="str">
        <f t="shared" si="97"/>
        <v>D-SV12-O-S21</v>
      </c>
      <c r="M88" s="57" t="str">
        <f t="shared" si="98"/>
        <v>D-SV12-O-A11</v>
      </c>
      <c r="N88" s="57">
        <f t="shared" si="99"/>
        <v>1024</v>
      </c>
      <c r="O88" s="57">
        <f t="shared" si="100"/>
        <v>256</v>
      </c>
      <c r="P88" s="57">
        <f t="shared" si="101"/>
        <v>256</v>
      </c>
      <c r="Q88" s="57">
        <f t="shared" si="102"/>
        <v>256</v>
      </c>
      <c r="R88" s="57">
        <f t="shared" si="103"/>
        <v>256</v>
      </c>
      <c r="S88" s="157" t="s">
        <v>80</v>
      </c>
      <c r="T88" s="57" t="str">
        <f t="shared" si="106"/>
        <v>/was/jboss7/domains/D-SV12-O/D-SV12-O-S21</v>
      </c>
      <c r="U88" s="57" t="str">
        <f t="shared" si="122"/>
        <v>/sv1/sv12/wasApp</v>
      </c>
      <c r="V88" s="57" t="str">
        <f t="shared" si="104"/>
        <v>/log/jboss7/D-SV12-O/D-SV12-O-S21</v>
      </c>
      <c r="W88" s="157"/>
      <c r="X88" s="13"/>
      <c r="Y88" s="13"/>
      <c r="Z88" s="57" t="str">
        <f>"http://40.10.22.156:"&amp;VLOOKUP(L88,'WAS Instance'!$M$7:$T$98,6,0)&amp;"/console"</f>
        <v>http://40.10.22.156:13039/console</v>
      </c>
      <c r="AA88" s="57"/>
      <c r="AB88" s="170"/>
      <c r="AC88" s="162" t="str">
        <f t="shared" si="80"/>
        <v>/web/jws3/domains/D-SV12-O/D-SV12-O-S21</v>
      </c>
      <c r="AD88" s="57" t="str">
        <f t="shared" si="123"/>
        <v>/sv1/sv12/webApp</v>
      </c>
      <c r="AE88" s="57" t="str">
        <f t="shared" si="79"/>
        <v>/log/jws3/D-SV12-O/D-SV12-O-S21</v>
      </c>
      <c r="AF88" s="157"/>
      <c r="AG88" s="13"/>
      <c r="AH88" s="13"/>
      <c r="AI88" s="160" t="s">
        <v>419</v>
      </c>
      <c r="AJ88" s="57"/>
      <c r="AK88" s="159" t="s">
        <v>702</v>
      </c>
    </row>
    <row r="89" spans="1:37" s="51" customFormat="1" ht="16.5" customHeight="1" x14ac:dyDescent="0.3">
      <c r="A89" s="8" t="s">
        <v>345</v>
      </c>
      <c r="B89" s="8" t="s">
        <v>392</v>
      </c>
      <c r="C89" s="8">
        <v>2</v>
      </c>
      <c r="D89" s="52" t="s">
        <v>286</v>
      </c>
      <c r="E89" s="52" t="str">
        <f t="shared" si="96"/>
        <v>dsfbap02</v>
      </c>
      <c r="F89" s="9" t="s">
        <v>412</v>
      </c>
      <c r="G89" s="33" t="str">
        <f>VLOOKUP(F89,'Domain별 코드 체계'!$B$5:$J$29,7,0)</f>
        <v>SV13</v>
      </c>
      <c r="H89" s="126" t="s">
        <v>5</v>
      </c>
      <c r="I89" s="10" t="str">
        <f t="shared" si="105"/>
        <v>D-SV13-O</v>
      </c>
      <c r="J89" s="136" t="s">
        <v>88</v>
      </c>
      <c r="K89" s="157">
        <v>1</v>
      </c>
      <c r="L89" s="57" t="str">
        <f t="shared" si="97"/>
        <v>D-SV13-O-F21</v>
      </c>
      <c r="M89" s="57" t="str">
        <f t="shared" si="98"/>
        <v>D-SV13-O-A11</v>
      </c>
      <c r="N89" s="57">
        <f t="shared" si="99"/>
        <v>2048</v>
      </c>
      <c r="O89" s="57">
        <f t="shared" si="100"/>
        <v>768</v>
      </c>
      <c r="P89" s="57">
        <f t="shared" si="101"/>
        <v>768</v>
      </c>
      <c r="Q89" s="57">
        <f t="shared" si="102"/>
        <v>512</v>
      </c>
      <c r="R89" s="57">
        <f t="shared" si="103"/>
        <v>512</v>
      </c>
      <c r="S89" s="157" t="s">
        <v>56</v>
      </c>
      <c r="T89" s="57" t="str">
        <f t="shared" si="106"/>
        <v>/was/jboss7/domains/D-SV13-O/D-SV13-O-F21</v>
      </c>
      <c r="U89" s="57" t="str">
        <f t="shared" si="122"/>
        <v>/sv1/sv13/wasApp</v>
      </c>
      <c r="V89" s="57" t="str">
        <f t="shared" si="104"/>
        <v>/log/jboss7/D-SV13-O/D-SV13-O-F21</v>
      </c>
      <c r="W89" s="157"/>
      <c r="X89" s="13"/>
      <c r="Y89" s="13"/>
      <c r="Z89" s="57" t="str">
        <f>"http://40.10.22.156:"&amp;VLOOKUP(L89,'WAS Instance'!$M$7:$T$98,6,0)&amp;"/console"</f>
        <v>http://40.10.22.156:13041/console</v>
      </c>
      <c r="AA89" s="57"/>
      <c r="AB89" s="170"/>
      <c r="AC89" s="162" t="str">
        <f t="shared" si="80"/>
        <v>/web/jws3/domains/D-SV13-O/D-SV13-O-F21</v>
      </c>
      <c r="AD89" s="57" t="str">
        <f t="shared" si="123"/>
        <v>/sv1/sv13/webApp</v>
      </c>
      <c r="AE89" s="57" t="str">
        <f t="shared" si="79"/>
        <v>/log/jws3/D-SV13-O/D-SV13-O-F21</v>
      </c>
      <c r="AF89" s="157"/>
      <c r="AG89" s="13"/>
      <c r="AH89" s="13"/>
      <c r="AI89" s="160" t="s">
        <v>419</v>
      </c>
      <c r="AJ89" s="57"/>
      <c r="AK89" s="159" t="s">
        <v>702</v>
      </c>
    </row>
    <row r="90" spans="1:37" s="51" customFormat="1" ht="16.5" customHeight="1" x14ac:dyDescent="0.3">
      <c r="A90" s="8" t="s">
        <v>464</v>
      </c>
      <c r="B90" s="8" t="s">
        <v>465</v>
      </c>
      <c r="C90" s="8">
        <v>2</v>
      </c>
      <c r="D90" s="52" t="s">
        <v>474</v>
      </c>
      <c r="E90" s="52" t="str">
        <f t="shared" ref="E90" si="124">CONCATENATE(A90,"sfb","ap0",C90)</f>
        <v>dsfbap02</v>
      </c>
      <c r="F90" s="9" t="s">
        <v>467</v>
      </c>
      <c r="G90" s="33" t="str">
        <f>VLOOKUP(F90,'Domain별 코드 체계'!$B$5:$J$29,7,0)</f>
        <v>SV14</v>
      </c>
      <c r="H90" s="126" t="s">
        <v>318</v>
      </c>
      <c r="I90" s="10" t="str">
        <f t="shared" ref="I90" si="125">CONCATENATE(UPPER(IF(A90="d","D",A90)),"-",G90,"-",H90)</f>
        <v>D-SV14-O</v>
      </c>
      <c r="J90" s="136" t="s">
        <v>308</v>
      </c>
      <c r="K90" s="184">
        <v>1</v>
      </c>
      <c r="L90" s="57" t="str">
        <f t="shared" ref="L90" si="126">CONCATENATE(I90,"-",J90,C90,K90)</f>
        <v>D-SV14-O-S21</v>
      </c>
      <c r="M90" s="57" t="str">
        <f t="shared" ref="M90" si="127">IF(J90="A","",CONCATENATE(I90,"-A11"))</f>
        <v>D-SV14-O-A11</v>
      </c>
      <c r="N90" s="57">
        <f t="shared" ref="N90" si="128">IF(J90="A",512,IF(J90="F",2048,IF(J90="S",1024)))</f>
        <v>1024</v>
      </c>
      <c r="O90" s="57">
        <f t="shared" ref="O90" si="129">IF(J90="A","",IF(J90="F",(N90/16)*6,IF(J90="S",N90/4)))</f>
        <v>256</v>
      </c>
      <c r="P90" s="57">
        <f t="shared" ref="P90" si="130">O90</f>
        <v>256</v>
      </c>
      <c r="Q90" s="57">
        <f t="shared" ref="Q90" si="131">IF(J90="A","",IF(J90="F",(N90/16)*4,IF(J90="S",N90/4)))</f>
        <v>256</v>
      </c>
      <c r="R90" s="57">
        <f t="shared" ref="R90" si="132">Q90</f>
        <v>256</v>
      </c>
      <c r="S90" s="184" t="s">
        <v>469</v>
      </c>
      <c r="T90" s="57" t="str">
        <f t="shared" ref="T90" si="133">CONCATENATE("/was/jboss7/domains/",I90,"/",L90)</f>
        <v>/was/jboss7/domains/D-SV14-O/D-SV14-O-S21</v>
      </c>
      <c r="U90" s="57" t="str">
        <f t="shared" ref="U90" si="134">CONCATENATE("/",LOWER(B90),"/",LOWER(LEFT(G90,4)),"/wasApp")</f>
        <v>/sv1/sv14/wasApp</v>
      </c>
      <c r="V90" s="57" t="str">
        <f t="shared" ref="V90" si="135">CONCATENATE("/log/jboss7/",I90,"/",L90)</f>
        <v>/log/jboss7/D-SV14-O/D-SV14-O-S21</v>
      </c>
      <c r="W90" s="184"/>
      <c r="X90" s="13"/>
      <c r="Y90" s="13"/>
      <c r="Z90" s="57" t="str">
        <f>"http://40.10.22.156:"&amp;VLOOKUP(L90,'WAS Instance'!$M$7:$T$98,6,0)&amp;"/console"</f>
        <v>http://40.10.22.156:13059/console</v>
      </c>
      <c r="AA90" s="57"/>
      <c r="AB90" s="170"/>
      <c r="AC90" s="162" t="str">
        <f t="shared" ref="AC90" si="136">CONCATENATE("/web/jws3/domains/",I90,"/",L90)</f>
        <v>/web/jws3/domains/D-SV14-O/D-SV14-O-S21</v>
      </c>
      <c r="AD90" s="57" t="str">
        <f t="shared" ref="AD90" si="137">CONCATENATE("/",LOWER(B90),"/",LOWER(LEFT(G90,4)),"/webApp")</f>
        <v>/sv1/sv14/webApp</v>
      </c>
      <c r="AE90" s="57" t="str">
        <f t="shared" ref="AE90" si="138">CONCATENATE("/log/jws3/",I90,"/",L90)</f>
        <v>/log/jws3/D-SV14-O/D-SV14-O-S21</v>
      </c>
      <c r="AF90" s="184"/>
      <c r="AG90" s="13"/>
      <c r="AH90" s="13"/>
      <c r="AI90" s="184" t="s">
        <v>476</v>
      </c>
      <c r="AJ90" s="57"/>
      <c r="AK90" s="159" t="s">
        <v>702</v>
      </c>
    </row>
    <row r="91" spans="1:37" s="51" customFormat="1" ht="16.5" customHeight="1" thickBot="1" x14ac:dyDescent="0.35">
      <c r="A91" s="8" t="s">
        <v>345</v>
      </c>
      <c r="B91" s="103" t="s">
        <v>455</v>
      </c>
      <c r="C91" s="103">
        <v>2</v>
      </c>
      <c r="D91" s="104" t="s">
        <v>286</v>
      </c>
      <c r="E91" s="104" t="str">
        <f t="shared" si="96"/>
        <v>dsfbap02</v>
      </c>
      <c r="F91" s="105" t="s">
        <v>460</v>
      </c>
      <c r="G91" s="106" t="str">
        <f>VLOOKUP(F91,'Domain별 코드 체계'!$B$5:$J$30,7,0)</f>
        <v>SF11</v>
      </c>
      <c r="H91" s="129" t="s">
        <v>318</v>
      </c>
      <c r="I91" s="10" t="str">
        <f t="shared" si="105"/>
        <v>D-SF11-O</v>
      </c>
      <c r="J91" s="139" t="s">
        <v>88</v>
      </c>
      <c r="K91" s="108">
        <v>1</v>
      </c>
      <c r="L91" s="109" t="str">
        <f t="shared" si="97"/>
        <v>D-SF11-O-F21</v>
      </c>
      <c r="M91" s="109" t="str">
        <f t="shared" si="98"/>
        <v>D-SF11-O-A11</v>
      </c>
      <c r="N91" s="109">
        <f t="shared" si="99"/>
        <v>2048</v>
      </c>
      <c r="O91" s="109">
        <f t="shared" si="100"/>
        <v>768</v>
      </c>
      <c r="P91" s="109">
        <f t="shared" si="101"/>
        <v>768</v>
      </c>
      <c r="Q91" s="109">
        <f t="shared" si="102"/>
        <v>512</v>
      </c>
      <c r="R91" s="109">
        <f t="shared" si="103"/>
        <v>512</v>
      </c>
      <c r="S91" s="108" t="s">
        <v>80</v>
      </c>
      <c r="T91" s="109" t="str">
        <f t="shared" si="106"/>
        <v>/was/jboss7/domains/D-SF11-O/D-SF11-O-F21</v>
      </c>
      <c r="U91" s="109" t="str">
        <f t="shared" si="122"/>
        <v>/sf1/sf11/wasApp</v>
      </c>
      <c r="V91" s="109" t="str">
        <f t="shared" si="104"/>
        <v>/log/jboss7/D-SF11-O/D-SF11-O-F21</v>
      </c>
      <c r="W91" s="108"/>
      <c r="X91" s="111"/>
      <c r="Y91" s="111"/>
      <c r="Z91" s="109" t="str">
        <f>"http://40.10.22.156:"&amp;VLOOKUP(L91,'WAS Instance'!$M$7:$T$98,6,0)&amp;"/console"</f>
        <v>http://40.10.22.156:13121/console</v>
      </c>
      <c r="AA91" s="109"/>
      <c r="AB91" s="177"/>
      <c r="AC91" s="167" t="str">
        <f t="shared" si="80"/>
        <v>/web/jws3/domains/D-SF11-O/D-SF11-O-F21</v>
      </c>
      <c r="AD91" s="109" t="str">
        <f t="shared" si="123"/>
        <v>/sf1/sf11/webApp</v>
      </c>
      <c r="AE91" s="109" t="str">
        <f t="shared" si="79"/>
        <v>/log/jws3/D-SF11-O/D-SF11-O-F21</v>
      </c>
      <c r="AF91" s="108"/>
      <c r="AG91" s="111"/>
      <c r="AH91" s="111"/>
      <c r="AI91" s="108" t="s">
        <v>419</v>
      </c>
      <c r="AJ91" s="109"/>
      <c r="AK91" s="257" t="s">
        <v>701</v>
      </c>
    </row>
    <row r="92" spans="1:37" ht="6" customHeight="1" x14ac:dyDescent="0.3">
      <c r="A92" s="37" t="s">
        <v>39</v>
      </c>
      <c r="B92" s="38"/>
      <c r="C92" s="38"/>
      <c r="D92" s="53"/>
      <c r="E92" s="53"/>
      <c r="F92" s="53"/>
      <c r="G92" s="19"/>
      <c r="H92" s="19"/>
      <c r="I92" s="19"/>
      <c r="J92" s="42"/>
      <c r="K92" s="42"/>
      <c r="L92" s="19"/>
      <c r="M92" s="19"/>
      <c r="N92" s="19"/>
      <c r="O92" s="19"/>
      <c r="P92" s="19"/>
      <c r="Q92" s="19"/>
      <c r="R92" s="19"/>
      <c r="S92" s="19"/>
      <c r="T92" s="144"/>
      <c r="U92" s="144"/>
      <c r="V92" s="19"/>
      <c r="W92" s="19"/>
      <c r="X92" s="19"/>
      <c r="Y92" s="19"/>
      <c r="Z92" s="19"/>
      <c r="AA92" s="19"/>
      <c r="AB92" s="19"/>
      <c r="AC92" s="144" t="str">
        <f t="shared" si="80"/>
        <v>/web/jws3/domains//</v>
      </c>
      <c r="AD92" s="144" t="str">
        <f t="shared" si="95"/>
        <v>///webApps</v>
      </c>
      <c r="AE92" s="144"/>
      <c r="AF92" s="19"/>
      <c r="AG92" s="19"/>
      <c r="AH92" s="19"/>
      <c r="AI92" s="19"/>
      <c r="AJ92" s="19"/>
      <c r="AK92" s="19"/>
    </row>
  </sheetData>
  <autoFilter ref="A6:AB92"/>
  <mergeCells count="15">
    <mergeCell ref="AK4:AK6"/>
    <mergeCell ref="AC5:AJ5"/>
    <mergeCell ref="AC4:AJ4"/>
    <mergeCell ref="AB4:AB6"/>
    <mergeCell ref="F5:I5"/>
    <mergeCell ref="J5:M5"/>
    <mergeCell ref="N5:R5"/>
    <mergeCell ref="J4:AA4"/>
    <mergeCell ref="F4:I4"/>
    <mergeCell ref="T5:AA5"/>
    <mergeCell ref="A4:A6"/>
    <mergeCell ref="B4:B6"/>
    <mergeCell ref="C4:C6"/>
    <mergeCell ref="D4:D6"/>
    <mergeCell ref="E4:E6"/>
  </mergeCells>
  <phoneticPr fontId="2" type="noConversion"/>
  <dataValidations count="3">
    <dataValidation type="list" allowBlank="1" showInputMessage="1" showErrorMessage="1" sqref="J80:J91 J7:J58 J60:J68 J69:J78">
      <formula1>"A,F,S"</formula1>
    </dataValidation>
    <dataValidation type="list" allowBlank="1" showInputMessage="1" showErrorMessage="1" sqref="W62 W67:W68 AF62 AF67:AF68 AF80:AF91 W80:W91 AF7:AF43 AF44:AF58 W7:W43 W44:W58">
      <formula1>"운영,통테,-"</formula1>
    </dataValidation>
    <dataValidation type="list" allowBlank="1" showInputMessage="1" showErrorMessage="1" sqref="S80:S91 S7:S58 S60:S68 S69:S78">
      <formula1>"도메인, 인스턴스"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JBoss EAP(WAS&amp;JVM 설정)</vt:lpstr>
      <vt:lpstr>JBoss EWS(설정)</vt:lpstr>
      <vt:lpstr>Domain별 코드 체계</vt:lpstr>
      <vt:lpstr>WAS Domain</vt:lpstr>
      <vt:lpstr>WAS Instance</vt:lpstr>
      <vt:lpstr>AS-IS 도메인정보</vt:lpstr>
      <vt:lpstr>서버설치결과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2015-05-25T23:39:23Z</dcterms:created>
  <dcterms:modified xsi:type="dcterms:W3CDTF">2017-08-16T00:11:50Z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Y:\16년노후서버교체\020-아키텍처정의서\JBoss\01. 미들웨어 설치결과서\3._(통합)미들웨어JBoss_설치결과서(최종)_v0.3_20170426.xlsx</vt:lpwstr>
  </property>
</Properties>
</file>