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Y:\16년노후서버교체\020-아키텍처정의서\JBoss\00. 미들웨어 설계\"/>
    </mc:Choice>
  </mc:AlternateContent>
  <bookViews>
    <workbookView xWindow="0" yWindow="0" windowWidth="21525" windowHeight="11940" tabRatio="694" firstSheet="2" activeTab="3"/>
  </bookViews>
  <sheets>
    <sheet name="JVM&amp;WAS Option" sheetId="23" r:id="rId1"/>
    <sheet name="Domain별 코드 체계" sheetId="33" r:id="rId2"/>
    <sheet name="WAS Domain" sheetId="6" r:id="rId3"/>
    <sheet name="WAS Instance" sheetId="22" r:id="rId4"/>
    <sheet name="DataSource(개발)" sheetId="51" r:id="rId5"/>
    <sheet name="DataSource사용X" sheetId="18" r:id="rId6"/>
    <sheet name="AS-IS 도메인정보" sheetId="45" r:id="rId7"/>
    <sheet name="개발서버WAS Instance" sheetId="46" r:id="rId8"/>
    <sheet name="개발서버JBOSS DIR" sheetId="49" r:id="rId9"/>
    <sheet name="개발서버 EWS DIR" sheetId="48" r:id="rId10"/>
  </sheets>
  <definedNames>
    <definedName name="_xlnm._FilterDatabase" localSheetId="4" hidden="1">'DataSource(개발)'!$A$5:$Q$5</definedName>
    <definedName name="_xlnm._FilterDatabase" localSheetId="5" hidden="1">DataSource사용X!$A$5:$Q$5</definedName>
    <definedName name="_xlnm._FilterDatabase" localSheetId="1" hidden="1">'Domain별 코드 체계'!$A$4:$L$29</definedName>
    <definedName name="_xlnm._FilterDatabase" localSheetId="0" hidden="1">'JVM&amp;WAS Option'!$A$2:$L$53</definedName>
    <definedName name="_xlnm._FilterDatabase" localSheetId="2" hidden="1">'WAS Domain'!$A$10:$W$10</definedName>
    <definedName name="_xlnm._FilterDatabase" localSheetId="3" hidden="1">'WAS Instance'!$A$6:$AG$87</definedName>
  </definedNames>
  <calcPr calcId="152511"/>
</workbook>
</file>

<file path=xl/calcChain.xml><?xml version="1.0" encoding="utf-8"?>
<calcChain xmlns="http://schemas.openxmlformats.org/spreadsheetml/2006/main">
  <c r="AB76" i="22" l="1"/>
  <c r="AB57" i="22"/>
  <c r="AB52" i="22"/>
  <c r="AB17" i="22"/>
  <c r="I8" i="33" l="1"/>
  <c r="G34" i="22" l="1"/>
  <c r="AB34" i="22" l="1"/>
  <c r="E16" i="22"/>
  <c r="E14" i="22"/>
  <c r="E15" i="22"/>
  <c r="E13" i="22"/>
  <c r="E12" i="22"/>
  <c r="E11" i="22"/>
  <c r="E10" i="22"/>
  <c r="E9" i="22"/>
  <c r="E8" i="22"/>
  <c r="E7" i="22"/>
  <c r="F8" i="18" l="1"/>
  <c r="D8" i="18" s="1"/>
  <c r="P8" i="18" s="1"/>
  <c r="P7" i="18"/>
  <c r="F7" i="18"/>
  <c r="D7" i="18"/>
  <c r="F9" i="18"/>
  <c r="D9" i="18"/>
  <c r="P9" i="18" s="1"/>
  <c r="F11" i="18"/>
  <c r="F10" i="18"/>
  <c r="F6" i="18"/>
  <c r="V86" i="22"/>
  <c r="Y86" i="22" s="1"/>
  <c r="Z86" i="22" s="1"/>
  <c r="G86" i="22"/>
  <c r="E86" i="22"/>
  <c r="V85" i="22"/>
  <c r="W85" i="22" s="1"/>
  <c r="X85" i="22" s="1"/>
  <c r="G85" i="22"/>
  <c r="AB85" i="22" s="1"/>
  <c r="E85" i="22"/>
  <c r="V84" i="22"/>
  <c r="W84" i="22" s="1"/>
  <c r="X84" i="22" s="1"/>
  <c r="G84" i="22"/>
  <c r="AB84" i="22" s="1"/>
  <c r="E84" i="22"/>
  <c r="V83" i="22"/>
  <c r="Y83" i="22" s="1"/>
  <c r="Z83" i="22" s="1"/>
  <c r="G83" i="22"/>
  <c r="E83" i="22"/>
  <c r="V82" i="22"/>
  <c r="Y82" i="22" s="1"/>
  <c r="Z82" i="22" s="1"/>
  <c r="G82" i="22"/>
  <c r="E82" i="22"/>
  <c r="V81" i="22"/>
  <c r="Y81" i="22" s="1"/>
  <c r="Z81" i="22" s="1"/>
  <c r="G81" i="22"/>
  <c r="AB81" i="22" s="1"/>
  <c r="E81" i="22"/>
  <c r="V80" i="22"/>
  <c r="Y80" i="22" s="1"/>
  <c r="Z80" i="22" s="1"/>
  <c r="G80" i="22"/>
  <c r="E80" i="22"/>
  <c r="V79" i="22"/>
  <c r="Y79" i="22" s="1"/>
  <c r="Z79" i="22" s="1"/>
  <c r="G79" i="22"/>
  <c r="E79" i="22"/>
  <c r="V78" i="22"/>
  <c r="W78" i="22" s="1"/>
  <c r="X78" i="22" s="1"/>
  <c r="G78" i="22"/>
  <c r="AB78" i="22" s="1"/>
  <c r="E78" i="22"/>
  <c r="V77" i="22"/>
  <c r="W77" i="22" s="1"/>
  <c r="X77" i="22" s="1"/>
  <c r="G77" i="22"/>
  <c r="E77" i="22"/>
  <c r="V60" i="22"/>
  <c r="W60" i="22" s="1"/>
  <c r="X60" i="22" s="1"/>
  <c r="V59" i="22"/>
  <c r="Y59" i="22" s="1"/>
  <c r="Z59" i="22" s="1"/>
  <c r="V58" i="22"/>
  <c r="Y58" i="22" s="1"/>
  <c r="Z58" i="22" s="1"/>
  <c r="E65" i="22"/>
  <c r="G65" i="22"/>
  <c r="V65" i="22"/>
  <c r="W65" i="22" s="1"/>
  <c r="X65" i="22" s="1"/>
  <c r="V66" i="22"/>
  <c r="Y66" i="22" s="1"/>
  <c r="Z66" i="22" s="1"/>
  <c r="G66" i="22"/>
  <c r="E66" i="22"/>
  <c r="V63" i="22"/>
  <c r="Y63" i="22" s="1"/>
  <c r="Z63" i="22" s="1"/>
  <c r="G63" i="22"/>
  <c r="E63" i="22"/>
  <c r="G75" i="22"/>
  <c r="G74" i="22"/>
  <c r="G73" i="22"/>
  <c r="G72" i="22"/>
  <c r="G71" i="22"/>
  <c r="G70" i="22"/>
  <c r="G69" i="22"/>
  <c r="G68" i="22"/>
  <c r="G67" i="22"/>
  <c r="G64" i="22"/>
  <c r="G62" i="22"/>
  <c r="G61" i="22"/>
  <c r="G60" i="22"/>
  <c r="G59" i="22"/>
  <c r="G58" i="22"/>
  <c r="E75" i="22"/>
  <c r="E74" i="22"/>
  <c r="E73" i="22"/>
  <c r="E72" i="22"/>
  <c r="E71" i="22"/>
  <c r="E70" i="22"/>
  <c r="E69" i="22"/>
  <c r="E68" i="22"/>
  <c r="E67" i="22"/>
  <c r="E64" i="22"/>
  <c r="E62" i="22"/>
  <c r="E61" i="22"/>
  <c r="E60" i="22"/>
  <c r="E59" i="22"/>
  <c r="E58" i="22"/>
  <c r="V56" i="22"/>
  <c r="Y56" i="22" s="1"/>
  <c r="Z56" i="22" s="1"/>
  <c r="G56" i="22"/>
  <c r="E56" i="22"/>
  <c r="V55" i="22"/>
  <c r="Y55" i="22" s="1"/>
  <c r="Z55" i="22" s="1"/>
  <c r="G55" i="22"/>
  <c r="E55" i="22"/>
  <c r="V54" i="22"/>
  <c r="W54" i="22" s="1"/>
  <c r="X54" i="22" s="1"/>
  <c r="G54" i="22"/>
  <c r="E54" i="22"/>
  <c r="E53" i="22"/>
  <c r="G53" i="22"/>
  <c r="AB53" i="22" s="1"/>
  <c r="V51" i="22"/>
  <c r="W51" i="22" s="1"/>
  <c r="X51" i="22" s="1"/>
  <c r="G51" i="22"/>
  <c r="E51" i="22"/>
  <c r="V50" i="22"/>
  <c r="Y50" i="22" s="1"/>
  <c r="Z50" i="22" s="1"/>
  <c r="G50" i="22"/>
  <c r="E50" i="22"/>
  <c r="V49" i="22"/>
  <c r="Y49" i="22" s="1"/>
  <c r="Z49" i="22" s="1"/>
  <c r="G49" i="22"/>
  <c r="E49" i="22"/>
  <c r="V48" i="22"/>
  <c r="Y48" i="22" s="1"/>
  <c r="Z48" i="22" s="1"/>
  <c r="G48" i="22"/>
  <c r="E48" i="22"/>
  <c r="V47" i="22"/>
  <c r="W47" i="22" s="1"/>
  <c r="X47" i="22" s="1"/>
  <c r="G47" i="22"/>
  <c r="E47" i="22"/>
  <c r="V46" i="22"/>
  <c r="Y46" i="22" s="1"/>
  <c r="Z46" i="22" s="1"/>
  <c r="G46" i="22"/>
  <c r="E46" i="22"/>
  <c r="V45" i="22"/>
  <c r="Y45" i="22" s="1"/>
  <c r="Z45" i="22" s="1"/>
  <c r="G45" i="22"/>
  <c r="E45" i="22"/>
  <c r="V44" i="22"/>
  <c r="Y44" i="22" s="1"/>
  <c r="Z44" i="22" s="1"/>
  <c r="G44" i="22"/>
  <c r="E44" i="22"/>
  <c r="V43" i="22"/>
  <c r="W43" i="22" s="1"/>
  <c r="X43" i="22" s="1"/>
  <c r="G43" i="22"/>
  <c r="E43" i="22"/>
  <c r="V42" i="22"/>
  <c r="Y42" i="22" s="1"/>
  <c r="Z42" i="22" s="1"/>
  <c r="G42" i="22"/>
  <c r="E42" i="22"/>
  <c r="V41" i="22"/>
  <c r="Y41" i="22" s="1"/>
  <c r="Z41" i="22" s="1"/>
  <c r="G41" i="22"/>
  <c r="E41" i="22"/>
  <c r="V40" i="22"/>
  <c r="Y40" i="22" s="1"/>
  <c r="Z40" i="22" s="1"/>
  <c r="G40" i="22"/>
  <c r="E40" i="22"/>
  <c r="V39" i="22"/>
  <c r="W39" i="22" s="1"/>
  <c r="X39" i="22" s="1"/>
  <c r="G39" i="22"/>
  <c r="E39" i="22"/>
  <c r="V38" i="22"/>
  <c r="Y38" i="22" s="1"/>
  <c r="Z38" i="22" s="1"/>
  <c r="G38" i="22"/>
  <c r="E38" i="22"/>
  <c r="V37" i="22"/>
  <c r="Y37" i="22" s="1"/>
  <c r="Z37" i="22" s="1"/>
  <c r="G37" i="22"/>
  <c r="E37" i="22"/>
  <c r="V36" i="22"/>
  <c r="W36" i="22" s="1"/>
  <c r="X36" i="22" s="1"/>
  <c r="G36" i="22"/>
  <c r="AB36" i="22" s="1"/>
  <c r="E36" i="22"/>
  <c r="V35" i="22"/>
  <c r="W35" i="22" s="1"/>
  <c r="X35" i="22" s="1"/>
  <c r="G35" i="22"/>
  <c r="E35" i="22"/>
  <c r="V34" i="22"/>
  <c r="W34" i="22" s="1"/>
  <c r="X34" i="22" s="1"/>
  <c r="V33" i="22"/>
  <c r="W33" i="22" s="1"/>
  <c r="X33" i="22" s="1"/>
  <c r="G33" i="22"/>
  <c r="V32" i="22"/>
  <c r="W32" i="22" s="1"/>
  <c r="X32" i="22" s="1"/>
  <c r="G32" i="22"/>
  <c r="V31" i="22"/>
  <c r="W31" i="22" s="1"/>
  <c r="X31" i="22" s="1"/>
  <c r="G31" i="22"/>
  <c r="V30" i="22"/>
  <c r="W30" i="22" s="1"/>
  <c r="X30" i="22" s="1"/>
  <c r="G30" i="22"/>
  <c r="V29" i="22"/>
  <c r="W29" i="22" s="1"/>
  <c r="X29" i="22" s="1"/>
  <c r="G29" i="22"/>
  <c r="V28" i="22"/>
  <c r="W28" i="22" s="1"/>
  <c r="X28" i="22" s="1"/>
  <c r="G28" i="22"/>
  <c r="V27" i="22"/>
  <c r="W27" i="22" s="1"/>
  <c r="X27" i="22" s="1"/>
  <c r="G27" i="22"/>
  <c r="V26" i="22"/>
  <c r="W26" i="22" s="1"/>
  <c r="X26" i="22" s="1"/>
  <c r="G26" i="22"/>
  <c r="V25" i="22"/>
  <c r="W25" i="22" s="1"/>
  <c r="X25" i="22" s="1"/>
  <c r="G25" i="22"/>
  <c r="V24" i="22"/>
  <c r="W24" i="22" s="1"/>
  <c r="X24" i="22" s="1"/>
  <c r="G24" i="22"/>
  <c r="AB24" i="22" s="1"/>
  <c r="V23" i="22"/>
  <c r="W23" i="22" s="1"/>
  <c r="X23" i="22" s="1"/>
  <c r="G23" i="22"/>
  <c r="V22" i="22"/>
  <c r="W22" i="22" s="1"/>
  <c r="X22" i="22" s="1"/>
  <c r="G22" i="22"/>
  <c r="E34" i="22"/>
  <c r="E33" i="22"/>
  <c r="E32" i="22"/>
  <c r="E31" i="22"/>
  <c r="E30" i="22"/>
  <c r="E29" i="22"/>
  <c r="E28" i="22"/>
  <c r="E27" i="22"/>
  <c r="E26" i="22"/>
  <c r="E25" i="22"/>
  <c r="E24" i="22"/>
  <c r="E23" i="22"/>
  <c r="E22" i="22"/>
  <c r="V53" i="22"/>
  <c r="W53" i="22" s="1"/>
  <c r="X53" i="22" s="1"/>
  <c r="V21" i="22"/>
  <c r="Y21" i="22" s="1"/>
  <c r="Z21" i="22" s="1"/>
  <c r="G21" i="22"/>
  <c r="E21" i="22"/>
  <c r="V20" i="22"/>
  <c r="Y20" i="22" s="1"/>
  <c r="Z20" i="22" s="1"/>
  <c r="G20" i="22"/>
  <c r="E20" i="22"/>
  <c r="E19" i="22"/>
  <c r="E18" i="22"/>
  <c r="V19" i="22"/>
  <c r="Y19" i="22" s="1"/>
  <c r="Z19" i="22" s="1"/>
  <c r="G19" i="22"/>
  <c r="V18" i="22"/>
  <c r="Y18" i="22" s="1"/>
  <c r="Z18" i="22" s="1"/>
  <c r="G18" i="22"/>
  <c r="AB18" i="22" s="1"/>
  <c r="V16" i="22"/>
  <c r="W16" i="22" s="1"/>
  <c r="X16" i="22" s="1"/>
  <c r="G16" i="22"/>
  <c r="AB16" i="22" s="1"/>
  <c r="V15" i="22"/>
  <c r="Y15" i="22" s="1"/>
  <c r="Z15" i="22" s="1"/>
  <c r="G15" i="22"/>
  <c r="V14" i="22"/>
  <c r="Y14" i="22" s="1"/>
  <c r="Z14" i="22" s="1"/>
  <c r="G14" i="22"/>
  <c r="AB14" i="22" s="1"/>
  <c r="V13" i="22"/>
  <c r="W13" i="22" s="1"/>
  <c r="X13" i="22" s="1"/>
  <c r="G13" i="22"/>
  <c r="V12" i="22"/>
  <c r="W12" i="22" s="1"/>
  <c r="X12" i="22" s="1"/>
  <c r="G12" i="22"/>
  <c r="AB12" i="22" s="1"/>
  <c r="V7" i="22"/>
  <c r="W7" i="22" s="1"/>
  <c r="X7" i="22" s="1"/>
  <c r="G7" i="22"/>
  <c r="G11" i="22"/>
  <c r="G10" i="22"/>
  <c r="G9" i="22"/>
  <c r="G8" i="22"/>
  <c r="V11" i="22"/>
  <c r="W11" i="22" s="1"/>
  <c r="X11" i="22" s="1"/>
  <c r="E25" i="6"/>
  <c r="T25" i="6" s="1"/>
  <c r="E24" i="6"/>
  <c r="E23" i="6"/>
  <c r="E22" i="6"/>
  <c r="E21" i="6"/>
  <c r="E20" i="6"/>
  <c r="E19" i="6"/>
  <c r="E18" i="6"/>
  <c r="E17" i="6"/>
  <c r="E16" i="6"/>
  <c r="E15" i="6"/>
  <c r="E14" i="6"/>
  <c r="E13" i="6"/>
  <c r="E12" i="6"/>
  <c r="E11" i="6"/>
  <c r="M57" i="22" l="1"/>
  <c r="N57" i="22" s="1"/>
  <c r="M76" i="22"/>
  <c r="N76" i="22"/>
  <c r="O34" i="22"/>
  <c r="M34" i="22"/>
  <c r="N34" i="22" s="1"/>
  <c r="M19" i="22"/>
  <c r="N19" i="22" s="1"/>
  <c r="AB19" i="22"/>
  <c r="M26" i="22"/>
  <c r="N26" i="22" s="1"/>
  <c r="AB26" i="22"/>
  <c r="M28" i="22"/>
  <c r="N28" i="22" s="1"/>
  <c r="AB28" i="22"/>
  <c r="M30" i="22"/>
  <c r="N30" i="22" s="1"/>
  <c r="AB30" i="22"/>
  <c r="M32" i="22"/>
  <c r="N32" i="22" s="1"/>
  <c r="AB32" i="22"/>
  <c r="M37" i="22"/>
  <c r="N37" i="22" s="1"/>
  <c r="AB37" i="22"/>
  <c r="M41" i="22"/>
  <c r="N41" i="22" s="1"/>
  <c r="AB41" i="22"/>
  <c r="M45" i="22"/>
  <c r="N45" i="22" s="1"/>
  <c r="AB45" i="22"/>
  <c r="M49" i="22"/>
  <c r="N49" i="22" s="1"/>
  <c r="AB49" i="22"/>
  <c r="M60" i="22"/>
  <c r="N60" i="22" s="1"/>
  <c r="AB60" i="22"/>
  <c r="M67" i="22"/>
  <c r="N67" i="22" s="1"/>
  <c r="AB67" i="22"/>
  <c r="M71" i="22"/>
  <c r="N71" i="22" s="1"/>
  <c r="AB71" i="22"/>
  <c r="M75" i="22"/>
  <c r="N75" i="22" s="1"/>
  <c r="AB75" i="22"/>
  <c r="M65" i="22"/>
  <c r="N65" i="22" s="1"/>
  <c r="AB65" i="22"/>
  <c r="M79" i="22"/>
  <c r="N79" i="22" s="1"/>
  <c r="AB79" i="22"/>
  <c r="M83" i="22"/>
  <c r="N83" i="22" s="1"/>
  <c r="AB83" i="22"/>
  <c r="M10" i="22"/>
  <c r="N10" i="22" s="1"/>
  <c r="AB10" i="22"/>
  <c r="M21" i="22"/>
  <c r="N21" i="22" s="1"/>
  <c r="AB21" i="22"/>
  <c r="M22" i="22"/>
  <c r="N22" i="22" s="1"/>
  <c r="AB22" i="22"/>
  <c r="M11" i="22"/>
  <c r="N11" i="22" s="1"/>
  <c r="AB11" i="22"/>
  <c r="M20" i="22"/>
  <c r="N20" i="22" s="1"/>
  <c r="AB20" i="22"/>
  <c r="M40" i="22"/>
  <c r="N40" i="22" s="1"/>
  <c r="AB40" i="22"/>
  <c r="M44" i="22"/>
  <c r="N44" i="22" s="1"/>
  <c r="AB44" i="22"/>
  <c r="M48" i="22"/>
  <c r="N48" i="22" s="1"/>
  <c r="AB48" i="22"/>
  <c r="M56" i="22"/>
  <c r="N56" i="22" s="1"/>
  <c r="AB56" i="22"/>
  <c r="M61" i="22"/>
  <c r="N61" i="22" s="1"/>
  <c r="AB61" i="22"/>
  <c r="M68" i="22"/>
  <c r="N68" i="22" s="1"/>
  <c r="AB68" i="22"/>
  <c r="M72" i="22"/>
  <c r="N72" i="22" s="1"/>
  <c r="AB72" i="22"/>
  <c r="M66" i="22"/>
  <c r="N66" i="22" s="1"/>
  <c r="AB66" i="22"/>
  <c r="M82" i="22"/>
  <c r="N82" i="22" s="1"/>
  <c r="AB82" i="22"/>
  <c r="M86" i="22"/>
  <c r="N86" i="22" s="1"/>
  <c r="AB86" i="22"/>
  <c r="M8" i="22"/>
  <c r="N8" i="22" s="1"/>
  <c r="AB8" i="22"/>
  <c r="M7" i="22"/>
  <c r="N7" i="22" s="1"/>
  <c r="AB7" i="22"/>
  <c r="M13" i="22"/>
  <c r="N13" i="22" s="1"/>
  <c r="AB13" i="22"/>
  <c r="M15" i="22"/>
  <c r="N15" i="22" s="1"/>
  <c r="AB15" i="22"/>
  <c r="M23" i="22"/>
  <c r="N23" i="22" s="1"/>
  <c r="AB23" i="22"/>
  <c r="M25" i="22"/>
  <c r="N25" i="22" s="1"/>
  <c r="AB25" i="22"/>
  <c r="M27" i="22"/>
  <c r="N27" i="22" s="1"/>
  <c r="AB27" i="22"/>
  <c r="M29" i="22"/>
  <c r="N29" i="22" s="1"/>
  <c r="AB29" i="22"/>
  <c r="M31" i="22"/>
  <c r="N31" i="22" s="1"/>
  <c r="AB31" i="22"/>
  <c r="M33" i="22"/>
  <c r="N33" i="22" s="1"/>
  <c r="AB33" i="22"/>
  <c r="M35" i="22"/>
  <c r="N35" i="22" s="1"/>
  <c r="AB35" i="22"/>
  <c r="M39" i="22"/>
  <c r="N39" i="22" s="1"/>
  <c r="AB39" i="22"/>
  <c r="M43" i="22"/>
  <c r="N43" i="22" s="1"/>
  <c r="AB43" i="22"/>
  <c r="M47" i="22"/>
  <c r="N47" i="22" s="1"/>
  <c r="AB47" i="22"/>
  <c r="M51" i="22"/>
  <c r="N51" i="22" s="1"/>
  <c r="AB51" i="22"/>
  <c r="M55" i="22"/>
  <c r="N55" i="22" s="1"/>
  <c r="AB55" i="22"/>
  <c r="M58" i="22"/>
  <c r="N58" i="22" s="1"/>
  <c r="AB58" i="22"/>
  <c r="M62" i="22"/>
  <c r="N62" i="22" s="1"/>
  <c r="AB62" i="22"/>
  <c r="M69" i="22"/>
  <c r="N69" i="22" s="1"/>
  <c r="AB69" i="22"/>
  <c r="M73" i="22"/>
  <c r="N73" i="22" s="1"/>
  <c r="AB73" i="22"/>
  <c r="M63" i="22"/>
  <c r="N63" i="22" s="1"/>
  <c r="AB63" i="22"/>
  <c r="M77" i="22"/>
  <c r="N77" i="22" s="1"/>
  <c r="AB77" i="22"/>
  <c r="M9" i="22"/>
  <c r="N9" i="22" s="1"/>
  <c r="AB9" i="22"/>
  <c r="M38" i="22"/>
  <c r="N38" i="22" s="1"/>
  <c r="AB38" i="22"/>
  <c r="M42" i="22"/>
  <c r="N42" i="22" s="1"/>
  <c r="AB42" i="22"/>
  <c r="M46" i="22"/>
  <c r="N46" i="22" s="1"/>
  <c r="AB46" i="22"/>
  <c r="M50" i="22"/>
  <c r="N50" i="22" s="1"/>
  <c r="AB50" i="22"/>
  <c r="M54" i="22"/>
  <c r="N54" i="22" s="1"/>
  <c r="AB54" i="22"/>
  <c r="M59" i="22"/>
  <c r="N59" i="22" s="1"/>
  <c r="AB59" i="22"/>
  <c r="M64" i="22"/>
  <c r="N64" i="22" s="1"/>
  <c r="AB64" i="22"/>
  <c r="M70" i="22"/>
  <c r="N70" i="22" s="1"/>
  <c r="AB70" i="22"/>
  <c r="M74" i="22"/>
  <c r="N74" i="22" s="1"/>
  <c r="AB74" i="22"/>
  <c r="M80" i="22"/>
  <c r="N80" i="22" s="1"/>
  <c r="AB80" i="22"/>
  <c r="O12" i="22"/>
  <c r="M12" i="22"/>
  <c r="N12" i="22" s="1"/>
  <c r="O16" i="22"/>
  <c r="M16" i="22"/>
  <c r="N16" i="22" s="1"/>
  <c r="O24" i="22"/>
  <c r="M24" i="22"/>
  <c r="N24" i="22" s="1"/>
  <c r="O53" i="22"/>
  <c r="M53" i="22"/>
  <c r="N53" i="22" s="1"/>
  <c r="O14" i="22"/>
  <c r="M14" i="22"/>
  <c r="N14" i="22" s="1"/>
  <c r="O36" i="22"/>
  <c r="M36" i="22"/>
  <c r="N36" i="22" s="1"/>
  <c r="O78" i="22"/>
  <c r="M78" i="22"/>
  <c r="N78" i="22" s="1"/>
  <c r="O18" i="22"/>
  <c r="M18" i="22"/>
  <c r="N18" i="22" s="1"/>
  <c r="O81" i="22"/>
  <c r="M81" i="22"/>
  <c r="N81" i="22" s="1"/>
  <c r="O85" i="22"/>
  <c r="M85" i="22"/>
  <c r="N85" i="22" s="1"/>
  <c r="O84" i="22"/>
  <c r="M84" i="22"/>
  <c r="N84" i="22" s="1"/>
  <c r="O38" i="22"/>
  <c r="O50" i="22"/>
  <c r="O59" i="22"/>
  <c r="O74" i="22"/>
  <c r="O28" i="22"/>
  <c r="O32" i="22"/>
  <c r="O41" i="22"/>
  <c r="O45" i="22"/>
  <c r="O49" i="22"/>
  <c r="O60" i="22"/>
  <c r="O67" i="22"/>
  <c r="O71" i="22"/>
  <c r="O75" i="22"/>
  <c r="S75" i="22" s="1"/>
  <c r="P75" i="22" s="1"/>
  <c r="O65" i="22"/>
  <c r="O79" i="22"/>
  <c r="O83" i="22"/>
  <c r="O9" i="22"/>
  <c r="O46" i="22"/>
  <c r="O64" i="22"/>
  <c r="O70" i="22"/>
  <c r="O80" i="22"/>
  <c r="O19" i="22"/>
  <c r="O21" i="22"/>
  <c r="O22" i="22"/>
  <c r="O26" i="22"/>
  <c r="O30" i="22"/>
  <c r="O37" i="22"/>
  <c r="O11" i="22"/>
  <c r="O20" i="22"/>
  <c r="O40" i="22"/>
  <c r="O44" i="22"/>
  <c r="O48" i="22"/>
  <c r="O56" i="22"/>
  <c r="S56" i="22" s="1"/>
  <c r="Q56" i="22" s="1"/>
  <c r="O61" i="22"/>
  <c r="O68" i="22"/>
  <c r="O72" i="22"/>
  <c r="O66" i="22"/>
  <c r="O82" i="22"/>
  <c r="O86" i="22"/>
  <c r="O42" i="22"/>
  <c r="O54" i="22"/>
  <c r="S54" i="22" s="1"/>
  <c r="R54" i="22" s="1"/>
  <c r="O10" i="22"/>
  <c r="O8" i="22"/>
  <c r="K2" i="22"/>
  <c r="O7" i="22"/>
  <c r="O13" i="22"/>
  <c r="O15" i="22"/>
  <c r="O23" i="22"/>
  <c r="O25" i="22"/>
  <c r="O27" i="22"/>
  <c r="O29" i="22"/>
  <c r="O31" i="22"/>
  <c r="O33" i="22"/>
  <c r="O35" i="22"/>
  <c r="O39" i="22"/>
  <c r="O43" i="22"/>
  <c r="O47" i="22"/>
  <c r="O51" i="22"/>
  <c r="O55" i="22"/>
  <c r="O58" i="22"/>
  <c r="O62" i="22"/>
  <c r="O69" i="22"/>
  <c r="O73" i="22"/>
  <c r="O63" i="22"/>
  <c r="O77" i="22"/>
  <c r="I53" i="22"/>
  <c r="L53" i="22" s="1"/>
  <c r="AC53" i="22" s="1"/>
  <c r="I84" i="22"/>
  <c r="I14" i="22"/>
  <c r="L14" i="22" s="1"/>
  <c r="AC14" i="22" s="1"/>
  <c r="I16" i="22"/>
  <c r="L16" i="22" s="1"/>
  <c r="AC16" i="22" s="1"/>
  <c r="I24" i="22"/>
  <c r="I36" i="22"/>
  <c r="I78" i="22"/>
  <c r="I18" i="22"/>
  <c r="U18" i="22" s="1"/>
  <c r="I81" i="22"/>
  <c r="I85" i="22"/>
  <c r="Y78" i="22"/>
  <c r="Z78" i="22" s="1"/>
  <c r="W81" i="22"/>
  <c r="X81" i="22" s="1"/>
  <c r="W86" i="22"/>
  <c r="X86" i="22" s="1"/>
  <c r="W59" i="22"/>
  <c r="X59" i="22" s="1"/>
  <c r="W83" i="22"/>
  <c r="X83" i="22" s="1"/>
  <c r="Y85" i="22"/>
  <c r="Z85" i="22" s="1"/>
  <c r="W80" i="22"/>
  <c r="X80" i="22" s="1"/>
  <c r="I77" i="22"/>
  <c r="I79" i="22"/>
  <c r="I82" i="22"/>
  <c r="Y65" i="22"/>
  <c r="Z65" i="22" s="1"/>
  <c r="I80" i="22"/>
  <c r="I83" i="22"/>
  <c r="I86" i="22"/>
  <c r="W63" i="22"/>
  <c r="X63" i="22" s="1"/>
  <c r="Y77" i="22"/>
  <c r="Z77" i="22" s="1"/>
  <c r="W79" i="22"/>
  <c r="X79" i="22" s="1"/>
  <c r="W82" i="22"/>
  <c r="X82" i="22" s="1"/>
  <c r="Y84" i="22"/>
  <c r="Z84" i="22" s="1"/>
  <c r="W58" i="22"/>
  <c r="X58" i="22" s="1"/>
  <c r="Y60" i="22"/>
  <c r="Z60" i="22" s="1"/>
  <c r="I65" i="22"/>
  <c r="W66" i="22"/>
  <c r="X66" i="22" s="1"/>
  <c r="I66" i="22"/>
  <c r="I63" i="22"/>
  <c r="I55" i="22"/>
  <c r="Y31" i="22"/>
  <c r="Z31" i="22" s="1"/>
  <c r="W56" i="22"/>
  <c r="X56" i="22" s="1"/>
  <c r="W55" i="22"/>
  <c r="X55" i="22" s="1"/>
  <c r="I56" i="22"/>
  <c r="Y54" i="22"/>
  <c r="Z54" i="22" s="1"/>
  <c r="Y53" i="22"/>
  <c r="Z53" i="22" s="1"/>
  <c r="Y36" i="22"/>
  <c r="Z36" i="22" s="1"/>
  <c r="W18" i="22"/>
  <c r="X18" i="22" s="1"/>
  <c r="W19" i="22"/>
  <c r="X19" i="22" s="1"/>
  <c r="W40" i="22"/>
  <c r="X40" i="22" s="1"/>
  <c r="Y23" i="22"/>
  <c r="Z23" i="22" s="1"/>
  <c r="W44" i="22"/>
  <c r="X44" i="22" s="1"/>
  <c r="I54" i="22"/>
  <c r="Y7" i="22"/>
  <c r="Z7" i="22" s="1"/>
  <c r="Y12" i="22"/>
  <c r="Z12" i="22" s="1"/>
  <c r="Y24" i="22"/>
  <c r="Z24" i="22" s="1"/>
  <c r="W38" i="22"/>
  <c r="X38" i="22" s="1"/>
  <c r="Y22" i="22"/>
  <c r="Z22" i="22" s="1"/>
  <c r="Y32" i="22"/>
  <c r="Z32" i="22" s="1"/>
  <c r="W48" i="22"/>
  <c r="X48" i="22" s="1"/>
  <c r="I13" i="22"/>
  <c r="I49" i="22"/>
  <c r="I35" i="22"/>
  <c r="I41" i="22"/>
  <c r="I45" i="22"/>
  <c r="W14" i="22"/>
  <c r="X14" i="22" s="1"/>
  <c r="I15" i="22"/>
  <c r="Y28" i="22"/>
  <c r="Z28" i="22" s="1"/>
  <c r="W21" i="22"/>
  <c r="X21" i="22" s="1"/>
  <c r="Y25" i="22"/>
  <c r="Z25" i="22" s="1"/>
  <c r="Y30" i="22"/>
  <c r="Z30" i="22" s="1"/>
  <c r="Y34" i="22"/>
  <c r="Z34" i="22" s="1"/>
  <c r="I39" i="22"/>
  <c r="W42" i="22"/>
  <c r="X42" i="22" s="1"/>
  <c r="W50" i="22"/>
  <c r="X50" i="22" s="1"/>
  <c r="I51" i="22"/>
  <c r="Y33" i="22"/>
  <c r="Z33" i="22" s="1"/>
  <c r="I37" i="22"/>
  <c r="I43" i="22"/>
  <c r="W46" i="22"/>
  <c r="X46" i="22" s="1"/>
  <c r="I47" i="22"/>
  <c r="Y35" i="22"/>
  <c r="Z35" i="22" s="1"/>
  <c r="W37" i="22"/>
  <c r="X37" i="22" s="1"/>
  <c r="I38" i="22"/>
  <c r="Y39" i="22"/>
  <c r="Z39" i="22" s="1"/>
  <c r="W41" i="22"/>
  <c r="X41" i="22" s="1"/>
  <c r="I42" i="22"/>
  <c r="Y43" i="22"/>
  <c r="Z43" i="22" s="1"/>
  <c r="W45" i="22"/>
  <c r="X45" i="22" s="1"/>
  <c r="I46" i="22"/>
  <c r="Y47" i="22"/>
  <c r="Z47" i="22" s="1"/>
  <c r="W49" i="22"/>
  <c r="X49" i="22" s="1"/>
  <c r="I50" i="22"/>
  <c r="Y51" i="22"/>
  <c r="Z51" i="22" s="1"/>
  <c r="I40" i="22"/>
  <c r="I44" i="22"/>
  <c r="I48" i="22"/>
  <c r="Y26" i="22"/>
  <c r="Z26" i="22" s="1"/>
  <c r="Y27" i="22"/>
  <c r="Z27" i="22" s="1"/>
  <c r="Y29" i="22"/>
  <c r="Z29" i="22" s="1"/>
  <c r="I22" i="22"/>
  <c r="I26" i="22"/>
  <c r="I28" i="22"/>
  <c r="I29" i="22"/>
  <c r="I30" i="22"/>
  <c r="I32" i="22"/>
  <c r="I33" i="22"/>
  <c r="I34" i="22"/>
  <c r="I23" i="22"/>
  <c r="I25" i="22"/>
  <c r="I27" i="22"/>
  <c r="I31" i="22"/>
  <c r="I20" i="22"/>
  <c r="W20" i="22"/>
  <c r="X20" i="22" s="1"/>
  <c r="I21" i="22"/>
  <c r="I19" i="22"/>
  <c r="I12" i="22"/>
  <c r="Y13" i="22"/>
  <c r="Z13" i="22" s="1"/>
  <c r="W15" i="22"/>
  <c r="X15" i="22" s="1"/>
  <c r="Y16" i="22"/>
  <c r="Z16" i="22" s="1"/>
  <c r="I7" i="22"/>
  <c r="I11" i="22"/>
  <c r="Y11" i="22"/>
  <c r="Z11" i="22" s="1"/>
  <c r="K25" i="6"/>
  <c r="N25" i="6"/>
  <c r="Q25" i="6"/>
  <c r="Q75" i="22" l="1"/>
  <c r="R75" i="22"/>
  <c r="P56" i="22"/>
  <c r="R56" i="22"/>
  <c r="Q54" i="22"/>
  <c r="U43" i="22"/>
  <c r="U15" i="22"/>
  <c r="L35" i="22"/>
  <c r="AC35" i="22" s="1"/>
  <c r="U37" i="22"/>
  <c r="U49" i="22"/>
  <c r="U82" i="22"/>
  <c r="P54" i="22"/>
  <c r="L81" i="22"/>
  <c r="AC81" i="22" s="1"/>
  <c r="U78" i="22"/>
  <c r="U20" i="22"/>
  <c r="L39" i="22"/>
  <c r="AC39" i="22" s="1"/>
  <c r="L13" i="22"/>
  <c r="AC13" i="22" s="1"/>
  <c r="L54" i="22"/>
  <c r="AC54" i="22" s="1"/>
  <c r="U79" i="22"/>
  <c r="U47" i="22"/>
  <c r="U45" i="22"/>
  <c r="U53" i="22"/>
  <c r="U14" i="22"/>
  <c r="L51" i="22"/>
  <c r="AC51" i="22" s="1"/>
  <c r="U41" i="22"/>
  <c r="U55" i="22"/>
  <c r="U84" i="22"/>
  <c r="L84" i="22"/>
  <c r="AC84" i="22" s="1"/>
  <c r="L77" i="22"/>
  <c r="L85" i="22"/>
  <c r="AC85" i="22" s="1"/>
  <c r="L18" i="22"/>
  <c r="AC18" i="22" s="1"/>
  <c r="L36" i="22"/>
  <c r="AC36" i="22" s="1"/>
  <c r="U16" i="22"/>
  <c r="L82" i="22"/>
  <c r="AC82" i="22" s="1"/>
  <c r="U85" i="22"/>
  <c r="U81" i="22"/>
  <c r="L78" i="22"/>
  <c r="AC78" i="22" s="1"/>
  <c r="U36" i="22"/>
  <c r="L43" i="22"/>
  <c r="AC43" i="22" s="1"/>
  <c r="AC77" i="22"/>
  <c r="U77" i="22"/>
  <c r="L79" i="22"/>
  <c r="AC79" i="22" s="1"/>
  <c r="U63" i="22"/>
  <c r="L86" i="22"/>
  <c r="AC86" i="22" s="1"/>
  <c r="U86" i="22"/>
  <c r="L83" i="22"/>
  <c r="AC83" i="22" s="1"/>
  <c r="U83" i="22"/>
  <c r="L80" i="22"/>
  <c r="AC80" i="22" s="1"/>
  <c r="U80" i="22"/>
  <c r="U65" i="22"/>
  <c r="L65" i="22"/>
  <c r="AC65" i="22" s="1"/>
  <c r="L66" i="22"/>
  <c r="AC66" i="22" s="1"/>
  <c r="U66" i="22"/>
  <c r="L63" i="22"/>
  <c r="AC63" i="22" s="1"/>
  <c r="U13" i="22"/>
  <c r="L55" i="22"/>
  <c r="AC55" i="22" s="1"/>
  <c r="L49" i="22"/>
  <c r="AC49" i="22" s="1"/>
  <c r="L56" i="22"/>
  <c r="AC56" i="22" s="1"/>
  <c r="U56" i="22"/>
  <c r="U51" i="22"/>
  <c r="U35" i="22"/>
  <c r="U54" i="22"/>
  <c r="U39" i="22"/>
  <c r="L47" i="22"/>
  <c r="AC47" i="22" s="1"/>
  <c r="L41" i="22"/>
  <c r="AC41" i="22" s="1"/>
  <c r="L15" i="22"/>
  <c r="AC15" i="22" s="1"/>
  <c r="L45" i="22"/>
  <c r="AC45" i="22" s="1"/>
  <c r="L11" i="22"/>
  <c r="AC11" i="22" s="1"/>
  <c r="L37" i="22"/>
  <c r="AC37" i="22" s="1"/>
  <c r="L44" i="22"/>
  <c r="AC44" i="22" s="1"/>
  <c r="U44" i="22"/>
  <c r="U46" i="22"/>
  <c r="L46" i="22"/>
  <c r="AC46" i="22" s="1"/>
  <c r="L38" i="22"/>
  <c r="AC38" i="22" s="1"/>
  <c r="U38" i="22"/>
  <c r="L48" i="22"/>
  <c r="AC48" i="22" s="1"/>
  <c r="U48" i="22"/>
  <c r="L40" i="22"/>
  <c r="AC40" i="22" s="1"/>
  <c r="U40" i="22"/>
  <c r="U50" i="22"/>
  <c r="L50" i="22"/>
  <c r="AC50" i="22" s="1"/>
  <c r="U42" i="22"/>
  <c r="L42" i="22"/>
  <c r="AC42" i="22" s="1"/>
  <c r="L28" i="22"/>
  <c r="AC28" i="22" s="1"/>
  <c r="U28" i="22"/>
  <c r="L23" i="22"/>
  <c r="AC23" i="22" s="1"/>
  <c r="U23" i="22"/>
  <c r="L32" i="22"/>
  <c r="AC32" i="22" s="1"/>
  <c r="U32" i="22"/>
  <c r="U26" i="22"/>
  <c r="L26" i="22"/>
  <c r="AC26" i="22" s="1"/>
  <c r="U33" i="22"/>
  <c r="L33" i="22"/>
  <c r="AC33" i="22" s="1"/>
  <c r="U31" i="22"/>
  <c r="L31" i="22"/>
  <c r="AC31" i="22" s="1"/>
  <c r="L30" i="22"/>
  <c r="AC30" i="22" s="1"/>
  <c r="U30" i="22"/>
  <c r="U24" i="22"/>
  <c r="L24" i="22"/>
  <c r="AC24" i="22" s="1"/>
  <c r="L25" i="22"/>
  <c r="AC25" i="22" s="1"/>
  <c r="U25" i="22"/>
  <c r="U27" i="22"/>
  <c r="L27" i="22"/>
  <c r="AC27" i="22" s="1"/>
  <c r="U34" i="22"/>
  <c r="L34" i="22"/>
  <c r="AC34" i="22" s="1"/>
  <c r="L29" i="22"/>
  <c r="AC29" i="22" s="1"/>
  <c r="U29" i="22"/>
  <c r="U22" i="22"/>
  <c r="L22" i="22"/>
  <c r="AC22" i="22" s="1"/>
  <c r="L20" i="22"/>
  <c r="AC20" i="22" s="1"/>
  <c r="L21" i="22"/>
  <c r="AC21" i="22" s="1"/>
  <c r="U21" i="22"/>
  <c r="L19" i="22"/>
  <c r="AC19" i="22" s="1"/>
  <c r="U19" i="22"/>
  <c r="L12" i="22"/>
  <c r="AC12" i="22" s="1"/>
  <c r="U12" i="22"/>
  <c r="L7" i="22"/>
  <c r="AC7" i="22" s="1"/>
  <c r="U7" i="22"/>
  <c r="U11" i="22"/>
  <c r="I28" i="33" l="1"/>
  <c r="I26" i="33"/>
  <c r="I24" i="33"/>
  <c r="I23" i="33"/>
  <c r="I22" i="33"/>
  <c r="I20" i="33"/>
  <c r="I18" i="33"/>
  <c r="I16" i="33"/>
  <c r="I14" i="33"/>
  <c r="I12" i="33"/>
  <c r="I10" i="33"/>
  <c r="I7" i="33"/>
  <c r="I6" i="33"/>
  <c r="I5" i="33"/>
  <c r="J25" i="6" l="1"/>
  <c r="I60" i="22"/>
  <c r="S7" i="22" l="1"/>
  <c r="S49" i="22"/>
  <c r="S32" i="22"/>
  <c r="S11" i="22"/>
  <c r="S81" i="22"/>
  <c r="S16" i="22"/>
  <c r="S86" i="22"/>
  <c r="S65" i="22"/>
  <c r="S41" i="22"/>
  <c r="S40" i="22"/>
  <c r="S66" i="22"/>
  <c r="S23" i="22"/>
  <c r="S24" i="22"/>
  <c r="S29" i="22"/>
  <c r="S45" i="22"/>
  <c r="S44" i="22"/>
  <c r="S46" i="22"/>
  <c r="S27" i="22"/>
  <c r="S28" i="22"/>
  <c r="S19" i="22"/>
  <c r="S18" i="22"/>
  <c r="S35" i="22"/>
  <c r="S36" i="22"/>
  <c r="S47" i="22"/>
  <c r="S30" i="22"/>
  <c r="S31" i="22"/>
  <c r="S48" i="22"/>
  <c r="S63" i="22"/>
  <c r="S37" i="22"/>
  <c r="S21" i="22"/>
  <c r="S22" i="22"/>
  <c r="S39" i="22"/>
  <c r="S38" i="22"/>
  <c r="S20" i="22"/>
  <c r="S50" i="22"/>
  <c r="S33" i="22"/>
  <c r="S14" i="22"/>
  <c r="S79" i="22"/>
  <c r="S84" i="22"/>
  <c r="S26" i="22"/>
  <c r="S25" i="22"/>
  <c r="S42" i="22"/>
  <c r="S43" i="22"/>
  <c r="S51" i="22"/>
  <c r="S34" i="22"/>
  <c r="S77" i="22"/>
  <c r="S83" i="22"/>
  <c r="S82" i="22"/>
  <c r="S78" i="22"/>
  <c r="S12" i="22"/>
  <c r="S13" i="22"/>
  <c r="S15" i="22"/>
  <c r="S80" i="22"/>
  <c r="S85" i="22"/>
  <c r="S55" i="22"/>
  <c r="S53" i="22"/>
  <c r="L60" i="22"/>
  <c r="AC60" i="22" s="1"/>
  <c r="U60" i="22"/>
  <c r="Q7" i="22" l="1"/>
  <c r="P7" i="22"/>
  <c r="R7" i="22"/>
  <c r="P13" i="22"/>
  <c r="Q13" i="22"/>
  <c r="R13" i="22"/>
  <c r="P50" i="22"/>
  <c r="R50" i="22"/>
  <c r="Q50" i="22"/>
  <c r="P28" i="22"/>
  <c r="Q28" i="22"/>
  <c r="R28" i="22"/>
  <c r="P66" i="22"/>
  <c r="Q66" i="22"/>
  <c r="R66" i="22"/>
  <c r="P86" i="22"/>
  <c r="R86" i="22"/>
  <c r="Q86" i="22"/>
  <c r="Q85" i="22"/>
  <c r="R85" i="22"/>
  <c r="P85" i="22"/>
  <c r="R80" i="22"/>
  <c r="P80" i="22"/>
  <c r="Q80" i="22"/>
  <c r="Q78" i="22"/>
  <c r="P78" i="22"/>
  <c r="R78" i="22"/>
  <c r="Q34" i="22"/>
  <c r="R34" i="22"/>
  <c r="P34" i="22"/>
  <c r="R25" i="22"/>
  <c r="P25" i="22"/>
  <c r="Q25" i="22"/>
  <c r="P14" i="22"/>
  <c r="Q14" i="22"/>
  <c r="R14" i="22"/>
  <c r="R38" i="22"/>
  <c r="Q38" i="22"/>
  <c r="P38" i="22"/>
  <c r="R37" i="22"/>
  <c r="Q37" i="22"/>
  <c r="P37" i="22"/>
  <c r="Q30" i="22"/>
  <c r="R30" i="22"/>
  <c r="P30" i="22"/>
  <c r="Q18" i="22"/>
  <c r="R18" i="22"/>
  <c r="P18" i="22"/>
  <c r="R46" i="22"/>
  <c r="Q46" i="22"/>
  <c r="P46" i="22"/>
  <c r="R24" i="22"/>
  <c r="Q24" i="22"/>
  <c r="P24" i="22"/>
  <c r="Q41" i="22"/>
  <c r="R41" i="22"/>
  <c r="P41" i="22"/>
  <c r="Q81" i="22"/>
  <c r="R81" i="22"/>
  <c r="P81" i="22"/>
  <c r="R43" i="22"/>
  <c r="P43" i="22"/>
  <c r="Q43" i="22"/>
  <c r="Q48" i="22"/>
  <c r="R48" i="22"/>
  <c r="P48" i="22"/>
  <c r="P15" i="22"/>
  <c r="R15" i="22"/>
  <c r="Q15" i="22"/>
  <c r="Q82" i="22"/>
  <c r="R82" i="22"/>
  <c r="P82" i="22"/>
  <c r="Q51" i="22"/>
  <c r="R51" i="22"/>
  <c r="P51" i="22"/>
  <c r="R26" i="22"/>
  <c r="P26" i="22"/>
  <c r="Q26" i="22"/>
  <c r="Q33" i="22"/>
  <c r="R33" i="22"/>
  <c r="P33" i="22"/>
  <c r="R39" i="22"/>
  <c r="Q39" i="22"/>
  <c r="P39" i="22"/>
  <c r="R63" i="22"/>
  <c r="P63" i="22"/>
  <c r="Q63" i="22"/>
  <c r="P47" i="22"/>
  <c r="Q47" i="22"/>
  <c r="R47" i="22"/>
  <c r="Q19" i="22"/>
  <c r="R19" i="22"/>
  <c r="P19" i="22"/>
  <c r="Q44" i="22"/>
  <c r="P44" i="22"/>
  <c r="R44" i="22"/>
  <c r="Q23" i="22"/>
  <c r="R23" i="22"/>
  <c r="P23" i="22"/>
  <c r="R65" i="22"/>
  <c r="Q65" i="22"/>
  <c r="P65" i="22"/>
  <c r="R11" i="22"/>
  <c r="Q11" i="22"/>
  <c r="P11" i="22"/>
  <c r="R83" i="22"/>
  <c r="Q83" i="22"/>
  <c r="P83" i="22"/>
  <c r="Q84" i="22"/>
  <c r="R84" i="22"/>
  <c r="P84" i="22"/>
  <c r="Q22" i="22"/>
  <c r="R22" i="22"/>
  <c r="P22" i="22"/>
  <c r="Q36" i="22"/>
  <c r="R36" i="22"/>
  <c r="P36" i="22"/>
  <c r="P45" i="22"/>
  <c r="Q45" i="22"/>
  <c r="R45" i="22"/>
  <c r="R32" i="22"/>
  <c r="P32" i="22"/>
  <c r="Q32" i="22"/>
  <c r="R12" i="22"/>
  <c r="P12" i="22"/>
  <c r="Q12" i="22"/>
  <c r="R77" i="22"/>
  <c r="P77" i="22"/>
  <c r="Q77" i="22"/>
  <c r="R42" i="22"/>
  <c r="P42" i="22"/>
  <c r="Q42" i="22"/>
  <c r="P79" i="22"/>
  <c r="Q79" i="22"/>
  <c r="R79" i="22"/>
  <c r="P20" i="22"/>
  <c r="R20" i="22"/>
  <c r="Q20" i="22"/>
  <c r="Q21" i="22"/>
  <c r="P21" i="22"/>
  <c r="R21" i="22"/>
  <c r="Q31" i="22"/>
  <c r="R31" i="22"/>
  <c r="P31" i="22"/>
  <c r="Q35" i="22"/>
  <c r="P35" i="22"/>
  <c r="R35" i="22"/>
  <c r="Q27" i="22"/>
  <c r="R27" i="22"/>
  <c r="P27" i="22"/>
  <c r="P29" i="22"/>
  <c r="R29" i="22"/>
  <c r="Q29" i="22"/>
  <c r="Q40" i="22"/>
  <c r="R40" i="22"/>
  <c r="P40" i="22"/>
  <c r="P16" i="22"/>
  <c r="R16" i="22"/>
  <c r="Q16" i="22"/>
  <c r="Q49" i="22"/>
  <c r="P49" i="22"/>
  <c r="R49" i="22"/>
  <c r="R53" i="22"/>
  <c r="P53" i="22"/>
  <c r="Q53" i="22"/>
  <c r="R55" i="22"/>
  <c r="Q55" i="22"/>
  <c r="P55" i="22"/>
  <c r="D32" i="18"/>
  <c r="P32" i="18" s="1"/>
  <c r="D31" i="18"/>
  <c r="P31" i="18" s="1"/>
  <c r="D30" i="18"/>
  <c r="P30" i="18" s="1"/>
  <c r="D29" i="18"/>
  <c r="P29" i="18" s="1"/>
  <c r="D28" i="18"/>
  <c r="P28" i="18" s="1"/>
  <c r="D27" i="18"/>
  <c r="P27" i="18" s="1"/>
  <c r="D24" i="18"/>
  <c r="P24" i="18" s="1"/>
  <c r="D23" i="18"/>
  <c r="P23" i="18" s="1"/>
  <c r="D22" i="18"/>
  <c r="P22" i="18" s="1"/>
  <c r="D21" i="18"/>
  <c r="P21" i="18" s="1"/>
  <c r="D20" i="18"/>
  <c r="P20" i="18" s="1"/>
  <c r="D17" i="18"/>
  <c r="P17" i="18" s="1"/>
  <c r="D18" i="18"/>
  <c r="P18" i="18" s="1"/>
  <c r="D16" i="18"/>
  <c r="P16" i="18" s="1"/>
  <c r="D15" i="18"/>
  <c r="P15" i="18" s="1"/>
  <c r="D14" i="18"/>
  <c r="P14" i="18" s="1"/>
  <c r="D13" i="18"/>
  <c r="P13" i="18" s="1"/>
  <c r="T19" i="6" l="1"/>
  <c r="Q19" i="6" l="1"/>
  <c r="K19" i="6"/>
  <c r="J19" i="6"/>
  <c r="N19" i="6"/>
  <c r="V73" i="22" l="1"/>
  <c r="W73" i="22" s="1"/>
  <c r="X73" i="22" s="1"/>
  <c r="V75" i="22"/>
  <c r="Y75" i="22" s="1"/>
  <c r="Z75" i="22" s="1"/>
  <c r="V74" i="22"/>
  <c r="Y74" i="22" s="1"/>
  <c r="Z74" i="22" s="1"/>
  <c r="V72" i="22"/>
  <c r="Y72" i="22" s="1"/>
  <c r="Z72" i="22" s="1"/>
  <c r="V71" i="22"/>
  <c r="Y71" i="22" s="1"/>
  <c r="Z71" i="22" s="1"/>
  <c r="T18" i="6"/>
  <c r="N16" i="6"/>
  <c r="W75" i="22" l="1"/>
  <c r="X75" i="22" s="1"/>
  <c r="W71" i="22"/>
  <c r="X71" i="22" s="1"/>
  <c r="I72" i="22"/>
  <c r="Q17" i="6"/>
  <c r="I75" i="22"/>
  <c r="I73" i="22"/>
  <c r="Y73" i="22"/>
  <c r="Z73" i="22" s="1"/>
  <c r="W72" i="22"/>
  <c r="X72" i="22" s="1"/>
  <c r="W74" i="22"/>
  <c r="X74" i="22" s="1"/>
  <c r="K18" i="6"/>
  <c r="K16" i="6"/>
  <c r="T16" i="6"/>
  <c r="Q16" i="6"/>
  <c r="N18" i="6"/>
  <c r="Q18" i="6"/>
  <c r="V70" i="22"/>
  <c r="Y70" i="22" s="1"/>
  <c r="Z70" i="22" s="1"/>
  <c r="V69" i="22"/>
  <c r="V68" i="22"/>
  <c r="Y68" i="22" s="1"/>
  <c r="Z68" i="22" s="1"/>
  <c r="V67" i="22"/>
  <c r="W67" i="22" s="1"/>
  <c r="X67" i="22" s="1"/>
  <c r="V64" i="22"/>
  <c r="Y64" i="22" s="1"/>
  <c r="Z64" i="22" s="1"/>
  <c r="V62" i="22"/>
  <c r="W62" i="22" s="1"/>
  <c r="X62" i="22" s="1"/>
  <c r="V61" i="22"/>
  <c r="Y61" i="22" s="1"/>
  <c r="Z61" i="22" s="1"/>
  <c r="V10" i="22"/>
  <c r="W10" i="22" s="1"/>
  <c r="X10" i="22" s="1"/>
  <c r="V9" i="22"/>
  <c r="V8" i="22"/>
  <c r="Y8" i="22" s="1"/>
  <c r="Z8" i="22" s="1"/>
  <c r="U75" i="22" l="1"/>
  <c r="W64" i="22"/>
  <c r="X64" i="22" s="1"/>
  <c r="W61" i="22"/>
  <c r="X61" i="22" s="1"/>
  <c r="U72" i="22"/>
  <c r="N17" i="6"/>
  <c r="K17" i="6"/>
  <c r="T17" i="6"/>
  <c r="I71" i="22"/>
  <c r="L72" i="22"/>
  <c r="AC72" i="22" s="1"/>
  <c r="I74" i="22"/>
  <c r="J18" i="6"/>
  <c r="J16" i="6"/>
  <c r="J17" i="6"/>
  <c r="L73" i="22"/>
  <c r="AC73" i="22" s="1"/>
  <c r="U73" i="22"/>
  <c r="L75" i="22"/>
  <c r="AC75" i="22" s="1"/>
  <c r="Y10" i="22"/>
  <c r="Z10" i="22" s="1"/>
  <c r="W68" i="22"/>
  <c r="X68" i="22" s="1"/>
  <c r="W9" i="22"/>
  <c r="X9" i="22" s="1"/>
  <c r="Y9" i="22"/>
  <c r="Z9" i="22" s="1"/>
  <c r="Y67" i="22"/>
  <c r="Z67" i="22" s="1"/>
  <c r="Y69" i="22"/>
  <c r="Z69" i="22" s="1"/>
  <c r="W69" i="22"/>
  <c r="X69" i="22" s="1"/>
  <c r="W70" i="22"/>
  <c r="X70" i="22" s="1"/>
  <c r="Y62" i="22"/>
  <c r="Z62" i="22" s="1"/>
  <c r="W8" i="22"/>
  <c r="X8" i="22" s="1"/>
  <c r="L71" i="22" l="1"/>
  <c r="AC71" i="22" s="1"/>
  <c r="U71" i="22"/>
  <c r="U74" i="22"/>
  <c r="L74" i="22"/>
  <c r="AC74" i="22" s="1"/>
  <c r="T22" i="6" l="1"/>
  <c r="Q22" i="6" l="1"/>
  <c r="K22" i="6"/>
  <c r="N22" i="6"/>
  <c r="J22" i="6"/>
  <c r="T20" i="6" l="1"/>
  <c r="N20" i="6" l="1"/>
  <c r="J20" i="6"/>
  <c r="Q20" i="6"/>
  <c r="K20" i="6"/>
  <c r="D11" i="18"/>
  <c r="P11" i="18" s="1"/>
  <c r="D10" i="18"/>
  <c r="P10" i="18" s="1"/>
  <c r="D6" i="18"/>
  <c r="P6" i="18" s="1"/>
  <c r="I61" i="22" l="1"/>
  <c r="I62" i="22"/>
  <c r="I59" i="22"/>
  <c r="I58" i="22"/>
  <c r="I8" i="22"/>
  <c r="I9" i="22"/>
  <c r="I10" i="22"/>
  <c r="U61" i="22" l="1"/>
  <c r="U58" i="22"/>
  <c r="U62" i="22"/>
  <c r="I67" i="22"/>
  <c r="I68" i="22"/>
  <c r="J21" i="6"/>
  <c r="I70" i="22"/>
  <c r="I69" i="22"/>
  <c r="I64" i="22"/>
  <c r="J15" i="6"/>
  <c r="U64" i="22" l="1"/>
  <c r="L62" i="22"/>
  <c r="AC62" i="22" s="1"/>
  <c r="L61" i="22"/>
  <c r="AC61" i="22" s="1"/>
  <c r="L9" i="22"/>
  <c r="AC9" i="22" s="1"/>
  <c r="L58" i="22"/>
  <c r="AC58" i="22" s="1"/>
  <c r="L10" i="22"/>
  <c r="AC10" i="22" s="1"/>
  <c r="L59" i="22"/>
  <c r="AC59" i="22" s="1"/>
  <c r="L8" i="22"/>
  <c r="AC8" i="22" s="1"/>
  <c r="U59" i="22"/>
  <c r="U8" i="22"/>
  <c r="U10" i="22"/>
  <c r="U9" i="22"/>
  <c r="U69" i="22"/>
  <c r="U67" i="22"/>
  <c r="U70" i="22"/>
  <c r="L69" i="22" l="1"/>
  <c r="AC69" i="22" s="1"/>
  <c r="L67" i="22"/>
  <c r="AC67" i="22" s="1"/>
  <c r="L68" i="22"/>
  <c r="AC68" i="22" s="1"/>
  <c r="U68" i="22"/>
  <c r="L70" i="22"/>
  <c r="AC70" i="22" s="1"/>
  <c r="L64" i="22"/>
  <c r="AC64" i="22" s="1"/>
  <c r="T12" i="6"/>
  <c r="K12" i="6"/>
  <c r="N12" i="6"/>
  <c r="Q12" i="6"/>
  <c r="J12" i="6" l="1"/>
  <c r="S72" i="22" l="1"/>
  <c r="S74" i="22"/>
  <c r="S71" i="22"/>
  <c r="S73" i="22"/>
  <c r="S69" i="22"/>
  <c r="S70" i="22"/>
  <c r="S60" i="22"/>
  <c r="S62" i="22"/>
  <c r="S61" i="22"/>
  <c r="J23" i="6"/>
  <c r="J24" i="6"/>
  <c r="J14" i="6"/>
  <c r="J13" i="6"/>
  <c r="S59" i="22"/>
  <c r="S58" i="22"/>
  <c r="S64" i="22"/>
  <c r="S67" i="22"/>
  <c r="S68" i="22"/>
  <c r="J11" i="6"/>
  <c r="S8" i="22"/>
  <c r="S10" i="22"/>
  <c r="S9" i="22"/>
  <c r="N15" i="6"/>
  <c r="T15" i="6"/>
  <c r="K15" i="6"/>
  <c r="Q15" i="6"/>
  <c r="N24" i="6"/>
  <c r="T24" i="6"/>
  <c r="Q24" i="6"/>
  <c r="K24" i="6"/>
  <c r="Q14" i="6"/>
  <c r="K14" i="6"/>
  <c r="T14" i="6"/>
  <c r="N14" i="6"/>
  <c r="T13" i="6"/>
  <c r="N13" i="6"/>
  <c r="Q13" i="6"/>
  <c r="K13" i="6"/>
  <c r="N21" i="6"/>
  <c r="K21" i="6"/>
  <c r="T21" i="6"/>
  <c r="Q21" i="6"/>
  <c r="K11" i="6"/>
  <c r="Q11" i="6"/>
  <c r="N11" i="6"/>
  <c r="T11" i="6"/>
  <c r="K23" i="6"/>
  <c r="Q23" i="6"/>
  <c r="N23" i="6"/>
  <c r="T23" i="6"/>
  <c r="R68" i="22" l="1"/>
  <c r="P68" i="22"/>
  <c r="Q68" i="22"/>
  <c r="R60" i="22"/>
  <c r="P60" i="22"/>
  <c r="Q60" i="22"/>
  <c r="R10" i="22"/>
  <c r="Q10" i="22"/>
  <c r="P10" i="22"/>
  <c r="R64" i="22"/>
  <c r="P64" i="22"/>
  <c r="Q64" i="22"/>
  <c r="R62" i="22"/>
  <c r="P62" i="22"/>
  <c r="Q62" i="22"/>
  <c r="R73" i="22"/>
  <c r="P73" i="22"/>
  <c r="Q73" i="22"/>
  <c r="R71" i="22"/>
  <c r="P71" i="22"/>
  <c r="Q71" i="22"/>
  <c r="R59" i="22"/>
  <c r="P59" i="22"/>
  <c r="Q59" i="22"/>
  <c r="R70" i="22"/>
  <c r="P70" i="22"/>
  <c r="Q70" i="22"/>
  <c r="R74" i="22"/>
  <c r="P74" i="22"/>
  <c r="Q74" i="22"/>
  <c r="R9" i="22"/>
  <c r="Q9" i="22"/>
  <c r="P9" i="22"/>
  <c r="R58" i="22"/>
  <c r="P58" i="22"/>
  <c r="Q58" i="22"/>
  <c r="R67" i="22"/>
  <c r="P67" i="22"/>
  <c r="Q67" i="22"/>
  <c r="R8" i="22"/>
  <c r="Q8" i="22"/>
  <c r="P8" i="22"/>
  <c r="R61" i="22"/>
  <c r="P61" i="22"/>
  <c r="Q61" i="22"/>
  <c r="R69" i="22"/>
  <c r="P69" i="22"/>
  <c r="Q69" i="22"/>
  <c r="R72" i="22"/>
  <c r="P72" i="22"/>
  <c r="Q72" i="22"/>
</calcChain>
</file>

<file path=xl/comments1.xml><?xml version="1.0" encoding="utf-8"?>
<comments xmlns="http://schemas.openxmlformats.org/spreadsheetml/2006/main">
  <authors>
    <author>samsung</author>
  </authors>
  <commentList>
    <comment ref="G4" authorId="0" shapeId="0">
      <text>
        <r>
          <rPr>
            <b/>
            <sz val="9"/>
            <color indexed="81"/>
            <rFont val="돋움"/>
            <family val="3"/>
            <charset val="129"/>
          </rPr>
          <t xml:space="preserve">도메인 코드의 </t>
        </r>
        <r>
          <rPr>
            <b/>
            <sz val="9"/>
            <color indexed="81"/>
            <rFont val="Tahoma"/>
            <family val="2"/>
          </rPr>
          <t xml:space="preserve">Main </t>
        </r>
        <r>
          <rPr>
            <b/>
            <sz val="9"/>
            <color indexed="81"/>
            <rFont val="돋움"/>
            <family val="3"/>
            <charset val="129"/>
          </rPr>
          <t>은</t>
        </r>
        <r>
          <rPr>
            <b/>
            <sz val="9"/>
            <color indexed="81"/>
            <rFont val="Tahoma"/>
            <family val="2"/>
          </rPr>
          <t xml:space="preserve"> TA </t>
        </r>
        <r>
          <rPr>
            <b/>
            <sz val="9"/>
            <color indexed="81"/>
            <rFont val="돋움"/>
            <family val="3"/>
            <charset val="129"/>
          </rPr>
          <t>코드로 할당하고 시퀀스는 TO-BE L2 순서로 1개씩 증가시킴</t>
        </r>
      </text>
    </comment>
    <comment ref="H4" authorId="0" shapeId="0">
      <text>
        <r>
          <rPr>
            <b/>
            <sz val="9"/>
            <color indexed="81"/>
            <rFont val="Tahoma"/>
            <family val="2"/>
          </rPr>
          <t xml:space="preserve">Sub </t>
        </r>
        <r>
          <rPr>
            <b/>
            <sz val="9"/>
            <color indexed="81"/>
            <rFont val="돋움"/>
            <family val="3"/>
            <charset val="129"/>
          </rPr>
          <t>도메인 코드는 L2 또는 L3 코드를 또는 솔루션 구분을 위한 코드로 할당</t>
        </r>
        <r>
          <rPr>
            <sz val="9"/>
            <color indexed="81"/>
            <rFont val="Tahoma"/>
            <family val="2"/>
          </rPr>
          <t xml:space="preserve">
</t>
        </r>
      </text>
    </comment>
  </commentList>
</comments>
</file>

<file path=xl/comments2.xml><?xml version="1.0" encoding="utf-8"?>
<comments xmlns="http://schemas.openxmlformats.org/spreadsheetml/2006/main">
  <authors>
    <author>samsung</author>
  </authors>
  <commentList>
    <comment ref="H10" authorId="0" shapeId="0">
      <text>
        <r>
          <rPr>
            <b/>
            <sz val="9"/>
            <color indexed="81"/>
            <rFont val="Tahoma"/>
            <family val="2"/>
          </rPr>
          <t>Domain</t>
        </r>
        <r>
          <rPr>
            <b/>
            <sz val="9"/>
            <color indexed="81"/>
            <rFont val="돋움"/>
            <family val="3"/>
            <charset val="129"/>
          </rPr>
          <t>별</t>
        </r>
        <r>
          <rPr>
            <b/>
            <sz val="9"/>
            <color indexed="81"/>
            <rFont val="Tahoma"/>
            <family val="2"/>
          </rPr>
          <t xml:space="preserve"> </t>
        </r>
        <r>
          <rPr>
            <b/>
            <sz val="9"/>
            <color indexed="81"/>
            <rFont val="돋움"/>
            <family val="3"/>
            <charset val="129"/>
          </rPr>
          <t>코드 체계에 따른 코드 할당</t>
        </r>
        <r>
          <rPr>
            <sz val="9"/>
            <color indexed="81"/>
            <rFont val="Tahoma"/>
            <family val="2"/>
          </rPr>
          <t xml:space="preserve">
</t>
        </r>
      </text>
    </comment>
    <comment ref="P10" authorId="0" shapeId="0">
      <text>
        <r>
          <rPr>
            <b/>
            <sz val="9"/>
            <color indexed="81"/>
            <rFont val="돋움"/>
            <family val="3"/>
            <charset val="129"/>
          </rPr>
          <t>개발 서버 Front 인스턴스는 2개 구성</t>
        </r>
      </text>
    </comment>
  </commentList>
</comments>
</file>

<file path=xl/comments3.xml><?xml version="1.0" encoding="utf-8"?>
<comments xmlns="http://schemas.openxmlformats.org/spreadsheetml/2006/main">
  <authors>
    <author>samsung</author>
  </authors>
  <commentList>
    <comment ref="AD5" authorId="0" shapeId="0">
      <text>
        <r>
          <rPr>
            <b/>
            <sz val="9"/>
            <color indexed="81"/>
            <rFont val="돋움"/>
            <family val="3"/>
            <charset val="129"/>
          </rPr>
          <t>운영 : 운영시Dynatrace 구성
통테 : 오픈전 통합테스트까지 Dynatrace 임시 라이선스 구성</t>
        </r>
        <r>
          <rPr>
            <sz val="9"/>
            <color indexed="81"/>
            <rFont val="Tahoma"/>
            <family val="2"/>
          </rPr>
          <t xml:space="preserve">
</t>
        </r>
      </text>
    </comment>
    <comment ref="AA6" authorId="0" shapeId="0">
      <text>
        <r>
          <rPr>
            <b/>
            <sz val="9"/>
            <color indexed="81"/>
            <rFont val="돋움"/>
            <family val="3"/>
            <charset val="129"/>
          </rPr>
          <t>도메인 : 도메인별 통합 Document Root 구성
인스턴스 : 인스턴스별 별도 Document Root 구성</t>
        </r>
      </text>
    </comment>
  </commentList>
</comments>
</file>

<file path=xl/comments4.xml><?xml version="1.0" encoding="utf-8"?>
<comments xmlns="http://schemas.openxmlformats.org/spreadsheetml/2006/main">
  <authors>
    <author>기태훈</author>
  </authors>
  <commentList>
    <comment ref="E4" authorId="0" shapeId="0">
      <text>
        <r>
          <rPr>
            <b/>
            <sz val="9"/>
            <color indexed="81"/>
            <rFont val="Tahoma"/>
            <family val="2"/>
          </rPr>
          <t xml:space="preserve">M : </t>
        </r>
        <r>
          <rPr>
            <sz val="9"/>
            <color indexed="81"/>
            <rFont val="Tahoma"/>
            <family val="2"/>
          </rPr>
          <t>Multi DataSource</t>
        </r>
        <r>
          <rPr>
            <b/>
            <sz val="9"/>
            <color indexed="81"/>
            <rFont val="Tahoma"/>
            <family val="2"/>
          </rPr>
          <t xml:space="preserve">
G : </t>
        </r>
        <r>
          <rPr>
            <sz val="9"/>
            <color indexed="81"/>
            <rFont val="Tahoma"/>
            <family val="2"/>
          </rPr>
          <t>Active Grid Link</t>
        </r>
        <r>
          <rPr>
            <b/>
            <sz val="9"/>
            <color indexed="81"/>
            <rFont val="Tahoma"/>
            <family val="2"/>
          </rPr>
          <t xml:space="preserve">
   : </t>
        </r>
        <r>
          <rPr>
            <sz val="9"/>
            <color indexed="81"/>
            <rFont val="돋움"/>
            <family val="3"/>
            <charset val="129"/>
          </rPr>
          <t>일반</t>
        </r>
        <r>
          <rPr>
            <sz val="9"/>
            <color indexed="81"/>
            <rFont val="Tahoma"/>
            <family val="2"/>
          </rPr>
          <t xml:space="preserve"> DataSource</t>
        </r>
      </text>
    </comment>
    <comment ref="N4" authorId="0" shapeId="0">
      <text>
        <r>
          <rPr>
            <b/>
            <sz val="9"/>
            <color indexed="81"/>
            <rFont val="돋움"/>
            <family val="3"/>
            <charset val="129"/>
          </rPr>
          <t>Non-XA모드 : NXA
XA모드 : XA</t>
        </r>
      </text>
    </comment>
  </commentList>
</comments>
</file>

<file path=xl/comments5.xml><?xml version="1.0" encoding="utf-8"?>
<comments xmlns="http://schemas.openxmlformats.org/spreadsheetml/2006/main">
  <authors>
    <author>기태훈</author>
  </authors>
  <commentList>
    <comment ref="E4" authorId="0" shapeId="0">
      <text>
        <r>
          <rPr>
            <b/>
            <sz val="9"/>
            <color indexed="81"/>
            <rFont val="Tahoma"/>
            <family val="2"/>
          </rPr>
          <t xml:space="preserve">M : </t>
        </r>
        <r>
          <rPr>
            <sz val="9"/>
            <color indexed="81"/>
            <rFont val="Tahoma"/>
            <family val="2"/>
          </rPr>
          <t>Multi DataSource</t>
        </r>
        <r>
          <rPr>
            <b/>
            <sz val="9"/>
            <color indexed="81"/>
            <rFont val="Tahoma"/>
            <family val="2"/>
          </rPr>
          <t xml:space="preserve">
G : </t>
        </r>
        <r>
          <rPr>
            <sz val="9"/>
            <color indexed="81"/>
            <rFont val="Tahoma"/>
            <family val="2"/>
          </rPr>
          <t>Active Grid Link</t>
        </r>
        <r>
          <rPr>
            <b/>
            <sz val="9"/>
            <color indexed="81"/>
            <rFont val="Tahoma"/>
            <family val="2"/>
          </rPr>
          <t xml:space="preserve">
   : </t>
        </r>
        <r>
          <rPr>
            <sz val="9"/>
            <color indexed="81"/>
            <rFont val="돋움"/>
            <family val="3"/>
            <charset val="129"/>
          </rPr>
          <t>일반</t>
        </r>
        <r>
          <rPr>
            <sz val="9"/>
            <color indexed="81"/>
            <rFont val="Tahoma"/>
            <family val="2"/>
          </rPr>
          <t xml:space="preserve"> DataSource</t>
        </r>
      </text>
    </comment>
    <comment ref="N4" authorId="0" shapeId="0">
      <text>
        <r>
          <rPr>
            <b/>
            <sz val="9"/>
            <color indexed="81"/>
            <rFont val="돋움"/>
            <family val="3"/>
            <charset val="129"/>
          </rPr>
          <t>Non-XA모드 : NXA
XA모드 : XA</t>
        </r>
      </text>
    </comment>
  </commentList>
</comments>
</file>

<file path=xl/sharedStrings.xml><?xml version="1.0" encoding="utf-8"?>
<sst xmlns="http://schemas.openxmlformats.org/spreadsheetml/2006/main" count="1925" uniqueCount="771">
  <si>
    <t>구분</t>
    <phoneticPr fontId="0" type="Hiragana"/>
  </si>
  <si>
    <t>O</t>
    <phoneticPr fontId="0" type="Hiragana"/>
  </si>
  <si>
    <t>온라인</t>
    <phoneticPr fontId="0" type="Hiragana"/>
  </si>
  <si>
    <t>A</t>
    <phoneticPr fontId="0" type="Hiragana"/>
  </si>
  <si>
    <t>시스템
코드</t>
    <phoneticPr fontId="0" type="Hiragana"/>
  </si>
  <si>
    <t>O</t>
  </si>
  <si>
    <t>서버명</t>
    <phoneticPr fontId="0" type="Hiragana"/>
  </si>
  <si>
    <t>구분</t>
    <phoneticPr fontId="0" type="Hiragana"/>
  </si>
  <si>
    <t>도메인</t>
    <phoneticPr fontId="0" type="Hiragana"/>
  </si>
  <si>
    <t>비고</t>
    <phoneticPr fontId="0" type="Hiragana"/>
  </si>
  <si>
    <t>Node</t>
    <phoneticPr fontId="0" type="Hiragana"/>
  </si>
  <si>
    <t>Inst</t>
    <phoneticPr fontId="0" type="Hiragana"/>
  </si>
  <si>
    <t>p</t>
    <phoneticPr fontId="0" type="Hiragana"/>
  </si>
  <si>
    <t>HPG</t>
    <phoneticPr fontId="2" type="noConversion"/>
  </si>
  <si>
    <t>SHP</t>
    <phoneticPr fontId="2" type="noConversion"/>
  </si>
  <si>
    <t>S</t>
    <phoneticPr fontId="0" type="Hiragana"/>
  </si>
  <si>
    <t>구분</t>
    <phoneticPr fontId="2" type="noConversion"/>
  </si>
  <si>
    <t>시스템
코드</t>
    <phoneticPr fontId="2" type="noConversion"/>
  </si>
  <si>
    <t>DataSource</t>
    <phoneticPr fontId="2" type="noConversion"/>
  </si>
  <si>
    <t>Datasourcce</t>
    <phoneticPr fontId="2" type="noConversion"/>
  </si>
  <si>
    <t>비고</t>
    <phoneticPr fontId="2" type="noConversion"/>
  </si>
  <si>
    <t>D/S
유형</t>
    <phoneticPr fontId="2" type="noConversion"/>
  </si>
  <si>
    <t>DB 정보</t>
    <phoneticPr fontId="2" type="noConversion"/>
  </si>
  <si>
    <t>접속정보</t>
    <phoneticPr fontId="2" type="noConversion"/>
  </si>
  <si>
    <t>DB Pool 개수
(min=max)</t>
    <phoneticPr fontId="2" type="noConversion"/>
  </si>
  <si>
    <t>JNDI</t>
    <phoneticPr fontId="2" type="noConversion"/>
  </si>
  <si>
    <t>DB명</t>
    <phoneticPr fontId="2" type="noConversion"/>
  </si>
  <si>
    <t>노드</t>
    <phoneticPr fontId="2" type="noConversion"/>
  </si>
  <si>
    <t>DB IP
(AP-DB용)</t>
    <phoneticPr fontId="2" type="noConversion"/>
  </si>
  <si>
    <t>도메인(/etc/hosts)</t>
    <phoneticPr fontId="2" type="noConversion"/>
  </si>
  <si>
    <t>PORT</t>
    <phoneticPr fontId="2" type="noConversion"/>
  </si>
  <si>
    <t>DB
서비스</t>
    <phoneticPr fontId="2" type="noConversion"/>
  </si>
  <si>
    <t>Object
업무</t>
    <phoneticPr fontId="2" type="noConversion"/>
  </si>
  <si>
    <t>접속
계정명</t>
    <phoneticPr fontId="2" type="noConversion"/>
  </si>
  <si>
    <t>NXA</t>
    <phoneticPr fontId="2" type="noConversion"/>
  </si>
  <si>
    <t>TFWMONL</t>
    <phoneticPr fontId="2" type="noConversion"/>
  </si>
  <si>
    <t>운영(P)</t>
    <phoneticPr fontId="0" type="Hiragana"/>
  </si>
  <si>
    <t>개발(T)</t>
    <phoneticPr fontId="0" type="Hiragana"/>
  </si>
  <si>
    <t>검증(V)</t>
    <phoneticPr fontId="0" type="Hiragana"/>
  </si>
  <si>
    <t>DR(D)</t>
    <phoneticPr fontId="0" type="Hiragana"/>
  </si>
  <si>
    <t>코드</t>
    <phoneticPr fontId="0" type="Hiragana"/>
  </si>
  <si>
    <t>내용</t>
    <phoneticPr fontId="0" type="Hiragana"/>
  </si>
  <si>
    <t>운영지원 Support 사이트 WAS 용
(Acube 연동)</t>
    <phoneticPr fontId="0" type="Hiragana"/>
  </si>
  <si>
    <t>p</t>
    <phoneticPr fontId="0" type="Hiragana"/>
  </si>
  <si>
    <t>O</t>
    <phoneticPr fontId="0" type="Hiragana"/>
  </si>
  <si>
    <t>Front 업무</t>
    <phoneticPr fontId="0" type="Hiragana"/>
  </si>
  <si>
    <t>F</t>
    <phoneticPr fontId="0" type="Hiragana"/>
  </si>
  <si>
    <t>Instance 용도</t>
    <phoneticPr fontId="0" type="Hiragana"/>
  </si>
  <si>
    <t>순번</t>
    <phoneticPr fontId="0" type="Hiragana"/>
  </si>
  <si>
    <t>구분</t>
    <phoneticPr fontId="0" type="Hiragana"/>
  </si>
  <si>
    <t>설명</t>
    <phoneticPr fontId="0" type="Hiragana"/>
  </si>
  <si>
    <t>default값</t>
    <phoneticPr fontId="0" type="Hiragana"/>
  </si>
  <si>
    <t>적용 기준</t>
    <phoneticPr fontId="0" type="Hiragana"/>
  </si>
  <si>
    <t>비고</t>
    <phoneticPr fontId="0" type="Hiragana"/>
  </si>
  <si>
    <t>GT Plus 권고</t>
    <phoneticPr fontId="0" type="Hiragana"/>
  </si>
  <si>
    <t>-Xms</t>
    <phoneticPr fontId="0" type="Hiragana"/>
  </si>
  <si>
    <t>Heap 최소 사이즈</t>
  </si>
  <si>
    <t>적용</t>
    <phoneticPr fontId="0" type="Hiragana"/>
  </si>
  <si>
    <t>GT Plus 권고
성능 테스트 수행</t>
  </si>
  <si>
    <t>2048m</t>
    <phoneticPr fontId="0" type="Hiragana"/>
  </si>
  <si>
    <t>-Xmx</t>
    <phoneticPr fontId="0" type="Hiragana"/>
  </si>
  <si>
    <t>Heap 최대 사이즈</t>
    <phoneticPr fontId="0" type="Hiragana"/>
  </si>
  <si>
    <t>-XX:NewSize</t>
    <phoneticPr fontId="0" type="Hiragana"/>
  </si>
  <si>
    <t>New Area 최소 사이즈</t>
    <phoneticPr fontId="0" type="Hiragana"/>
  </si>
  <si>
    <t>512m</t>
    <phoneticPr fontId="0" type="Hiragana"/>
  </si>
  <si>
    <t>-XX:MaxNewSize</t>
    <phoneticPr fontId="0" type="Hiragana"/>
  </si>
  <si>
    <t>New Area 최대 사이즈</t>
    <phoneticPr fontId="0" type="Hiragana"/>
  </si>
  <si>
    <t>Perm Area 최소 사이즈</t>
    <phoneticPr fontId="0" type="Hiragana"/>
  </si>
  <si>
    <t>-XX:MaxPermSize</t>
    <phoneticPr fontId="0" type="Hiragana"/>
  </si>
  <si>
    <t>Perm Area 최대 사이즈</t>
    <phoneticPr fontId="0" type="Hiragana"/>
  </si>
  <si>
    <t>Heapdump 위치 설정</t>
    <phoneticPr fontId="0" type="Hiragana"/>
  </si>
  <si>
    <t>N/A</t>
    <phoneticPr fontId="0" type="Hiragana"/>
  </si>
  <si>
    <t>-XX:ErrorFile</t>
    <phoneticPr fontId="0" type="Hiragana"/>
  </si>
  <si>
    <t>OS 덤프 위치 설정</t>
    <phoneticPr fontId="0" type="Hiragana"/>
  </si>
  <si>
    <t>Out Of Memory 발생 시 HeapDump를 file에 기록</t>
    <phoneticPr fontId="0" type="Hiragana"/>
  </si>
  <si>
    <t>GC</t>
    <phoneticPr fontId="0" type="Hiragana"/>
  </si>
  <si>
    <t>-XX:+UseConcMarkSweepGC</t>
    <phoneticPr fontId="0" type="Hiragana"/>
  </si>
  <si>
    <t>Use concurrent mark-sweep collection for the old generation
→ CMS Collector를 사용할 지 여부 지정
 GC Pause에 의한 사용자 응답 시간 저하 현상을 줄이고자 할 경우 사용</t>
    <phoneticPr fontId="0" type="Hiragana"/>
  </si>
  <si>
    <t>-XX:+UseParNewGC</t>
    <phoneticPr fontId="0" type="Hiragana"/>
  </si>
  <si>
    <t>CMS Collector를 사용하는 경우에 한해서, Young Generation에 대해서 Parallel Collection을 수행할지 여부 지정</t>
    <phoneticPr fontId="0" type="Hiragana"/>
  </si>
  <si>
    <t>-XX:+CMSParallelRemarkEnabled</t>
    <phoneticPr fontId="0" type="Hiragana"/>
  </si>
  <si>
    <t>-XX:+PrintGCTimeStamps</t>
    <phoneticPr fontId="0" type="Hiragana"/>
  </si>
  <si>
    <t>Print timestamps at garbage collection</t>
    <phoneticPr fontId="0" type="Hiragana"/>
  </si>
  <si>
    <t>튜닝을 위한 옵션임</t>
    <phoneticPr fontId="0" type="Hiragana"/>
  </si>
  <si>
    <t>-XX:+PrintGCDetails</t>
    <phoneticPr fontId="0" type="Hiragana"/>
  </si>
  <si>
    <t>Print more details at garbage collection
→ verbose:gc의 로그에 new 영역에 대한 크기 정보와 좀더 정확한 시간정보를 보여줌</t>
  </si>
  <si>
    <t>GC가 수행되고 얼마나 걸렸는지를 로그에 남김.
(GC 발생시간, GC 수행요소 시간, GC 발생 당시 Heap Usage)</t>
    <phoneticPr fontId="0" type="Hiragana"/>
  </si>
  <si>
    <t>GC Dump를 저장할 파일명을 지정
시간 기록과 함께 파일에 GC 상태를 기록
파일명 지정하지 않으면 콘솔에 출력</t>
    <phoneticPr fontId="0" type="Hiragana"/>
  </si>
  <si>
    <t>-XX:+DisableExplicitGC</t>
    <phoneticPr fontId="0" type="Hiragana"/>
  </si>
  <si>
    <t>System.gc 호출에 의한 Explicit GC를 비활성화
RMIdp 의한 Explicit GC나 Application에서의 Explicit GC 를 원척적으로 방지. 즉, System GC를 막음.</t>
    <phoneticPr fontId="0" type="Hiragana"/>
  </si>
  <si>
    <t>-XX:+DisableExplicitGC"</t>
    <phoneticPr fontId="0" type="Hiragana"/>
  </si>
  <si>
    <t>CodeCache</t>
    <phoneticPr fontId="0" type="Hiragana"/>
  </si>
  <si>
    <t>-XX:CodeCacheMinimumFreeSpace</t>
    <phoneticPr fontId="0" type="Hiragana"/>
  </si>
  <si>
    <t>java Native Heap 공간의 최소 확보 영역</t>
    <phoneticPr fontId="0" type="Hiragana"/>
  </si>
  <si>
    <t xml:space="preserve">Code Cache : used for compilation and storage of methods that have been compiled to native code by the JIT Compiler.
CodeCacheMinimumFreeSpace is the amount of space we try to leave available when we back of on compiles. </t>
    <phoneticPr fontId="0" type="Hiragana"/>
  </si>
  <si>
    <t>-XX:ReservedCodeCacheSize</t>
    <phoneticPr fontId="0" type="Hiragana"/>
  </si>
  <si>
    <t>Reserved code cache size - maximun code cache size [solaris 64bit : 1024m]
java Native Heap 공간의 최소 Free 영역. 기계어 바이트 코드</t>
    <phoneticPr fontId="0" type="Hiragana"/>
  </si>
  <si>
    <t>부팅 계정에 대한 정보를 암호화된 파일로 지정</t>
    <phoneticPr fontId="0" type="Hiragana"/>
  </si>
  <si>
    <t>-Dweblogic.MuxerClass</t>
    <phoneticPr fontId="0" type="Hiragana"/>
  </si>
  <si>
    <t>웹로직에서 성능향상을 위해 socket을 처리하는 Native Class를 지정</t>
    <phoneticPr fontId="0" type="Hiragana"/>
  </si>
  <si>
    <t>추가권고사항
(OS 공통)</t>
    <phoneticPr fontId="0" type="Hiragana"/>
  </si>
  <si>
    <t>-D_Offline_FileDataArchive</t>
    <phoneticPr fontId="0" type="Hiragana"/>
  </si>
  <si>
    <t>WebLogic 에서 불필요한 Diagnostic DAT 파일을 생성하지 않도록 지정
웹로직 진단 모듈 Dump 활성화. 이벤트 로그성</t>
    <phoneticPr fontId="0" type="Hiragana"/>
  </si>
  <si>
    <t>WebLogic Diagnostics Event logging 관련</t>
    <phoneticPr fontId="0" type="Hiragana"/>
  </si>
  <si>
    <t>-Djava.net.preferIPv4Stack</t>
    <phoneticPr fontId="0" type="Hiragana"/>
  </si>
  <si>
    <t>WebLogic 에서 불필요한 Diagnostic DAT 파일을 생성하지 않도록 지정</t>
    <phoneticPr fontId="0" type="Hiragana"/>
  </si>
  <si>
    <t>-Djava.net.preferIPv4Stack=true</t>
    <phoneticPr fontId="0" type="Hiragana"/>
  </si>
  <si>
    <t>rmi 통신에서 사용되는 객체를 정리하기 위한 Garbage Collection 주기를 1시간으로 지정.</t>
    <phoneticPr fontId="0" type="Hiragana"/>
  </si>
  <si>
    <t>-Dsun.rmi.dgc.client.gcInterval=3600000</t>
    <phoneticPr fontId="0" type="Hiragana"/>
  </si>
  <si>
    <t>RMI 관련 Timeout 설정</t>
    <phoneticPr fontId="0" type="Hiragana"/>
  </si>
  <si>
    <t>-Dsun.rmi.dgc.server.gcInterval=3600000</t>
    <phoneticPr fontId="0" type="Hiragana"/>
  </si>
  <si>
    <t>-Dfile.encoding</t>
    <phoneticPr fontId="0" type="Hiragana"/>
  </si>
  <si>
    <t>-Dfile.encoding=UTF-8</t>
    <phoneticPr fontId="0" type="Hiragana"/>
  </si>
  <si>
    <t>Instance별 100개 DB-Pool 수준</t>
    <phoneticPr fontId="0" type="Hiragana"/>
  </si>
  <si>
    <t>DB Pool 세팅</t>
    <phoneticPr fontId="0" type="Hiragana"/>
  </si>
  <si>
    <t>WAS 인스턴스의 DB Pool 개수를 고정하기 위해 최소값 = 최대값 으로 동일하게 설정한다.
Fail-over로 인한 DB단 Session 및 Process 개수를 수용할수 있는 수준인지 WAS 파라미터와 비교해서 부족하지 않게 DB 파라미터 값을 조절한다.</t>
    <phoneticPr fontId="0" type="Hiragana"/>
  </si>
  <si>
    <t>initial=min=max 설정</t>
    <phoneticPr fontId="0" type="Hiragana"/>
  </si>
  <si>
    <t>JDBC</t>
    <phoneticPr fontId="0" type="Hiragana"/>
  </si>
  <si>
    <t>평균 Active 사용량의 1.5배</t>
  </si>
  <si>
    <t>min=max</t>
  </si>
  <si>
    <t>DBMS에서 수용할 수 있는 capacity 하에서 max 산정하여 설정</t>
    <phoneticPr fontId="0" type="Hiragana"/>
  </si>
  <si>
    <t>min=max</t>
    <phoneticPr fontId="0" type="Hiragana"/>
  </si>
  <si>
    <t>Capacity Increment</t>
  </si>
  <si>
    <t>JDBC 부족 시 생성할 Connection 개수 단위</t>
    <phoneticPr fontId="0" type="Hiragana"/>
  </si>
  <si>
    <t>Default 적용</t>
    <phoneticPr fontId="0" type="Hiragana"/>
  </si>
  <si>
    <t>명시적으로 나타내도록</t>
    <phoneticPr fontId="0" type="Hiragana"/>
  </si>
  <si>
    <t>-1</t>
    <phoneticPr fontId="0" type="Hiragana"/>
  </si>
  <si>
    <t>Application에게 JDBC Connection 주기 전에 JDBC의 정상유무 test 확인하고return(Test Query)</t>
    <phoneticPr fontId="0" type="Hiragana"/>
  </si>
  <si>
    <t>unchecked</t>
    <phoneticPr fontId="0" type="Hiragana"/>
  </si>
  <si>
    <t>Application에서 JDBC Connection을 close하지 않고 종료시의 JDBC Connection을 다시 JDBC Pool에 반납하여 사용할 수 있도록 하는 기능</t>
    <phoneticPr fontId="0" type="Hiragana"/>
  </si>
  <si>
    <t>Connection Leak 문제 해결 시에는 OFF</t>
    <phoneticPr fontId="0" type="Hiragana"/>
  </si>
  <si>
    <t>WebLogic의 인코딩 타입 지정(차세대  표준 UTF-8)</t>
  </si>
  <si>
    <t>도메인 성격</t>
    <phoneticPr fontId="0" type="Hiragana"/>
  </si>
  <si>
    <t>WAS</t>
    <phoneticPr fontId="0" type="Hiragana"/>
  </si>
  <si>
    <t>시스템</t>
    <phoneticPr fontId="0" type="Hiragana"/>
  </si>
  <si>
    <t>순번</t>
    <phoneticPr fontId="0" type="Hiragana"/>
  </si>
  <si>
    <t>최종
Port</t>
    <phoneticPr fontId="0" type="Hiragana"/>
  </si>
  <si>
    <t>Port 분류</t>
    <phoneticPr fontId="0" type="Hiragana"/>
  </si>
  <si>
    <t>도메인명</t>
    <phoneticPr fontId="0" type="Hiragana"/>
  </si>
  <si>
    <t>-</t>
    <phoneticPr fontId="2" type="noConversion"/>
  </si>
  <si>
    <t>t</t>
  </si>
  <si>
    <t>t</t>
    <phoneticPr fontId="2" type="noConversion"/>
  </si>
  <si>
    <t>v</t>
  </si>
  <si>
    <t>Heap 메모리
설정</t>
    <phoneticPr fontId="0" type="Hiragana"/>
  </si>
  <si>
    <t>Dump
설정</t>
    <phoneticPr fontId="0" type="Hiragana"/>
  </si>
  <si>
    <t>JVM
파라미터</t>
    <phoneticPr fontId="0" type="Hiragana"/>
  </si>
  <si>
    <t>GC_LOG="/log/weblog12/${Domain_Name}/${ServerName}/gclog/gc_${ServerName}_${DATE}.log"
-Xloggc:$GC_LOG</t>
    <phoneticPr fontId="2" type="noConversion"/>
  </si>
  <si>
    <t>도메인</t>
    <phoneticPr fontId="0" type="Hiragana"/>
  </si>
  <si>
    <t>NO</t>
    <phoneticPr fontId="2" type="noConversion"/>
  </si>
  <si>
    <t>비고</t>
    <phoneticPr fontId="0" type="Hiragana"/>
  </si>
  <si>
    <t>디지털채널
소분류체계</t>
    <phoneticPr fontId="0" type="Hiragana"/>
  </si>
  <si>
    <t>도메인
코드</t>
    <phoneticPr fontId="0" type="Hiragana"/>
  </si>
  <si>
    <t>UseParNewGC 와 같이 사용할때 Remark Phase Time 을 좀더 줄이기 위한 옵션
Remark 단계를 parallel 하게 수행하도록 설정</t>
    <phoneticPr fontId="2" type="noConversion"/>
  </si>
  <si>
    <t>JVM 추가</t>
    <phoneticPr fontId="2" type="noConversion"/>
  </si>
  <si>
    <t>CI-TEC 권고</t>
    <phoneticPr fontId="2" type="noConversion"/>
  </si>
  <si>
    <t>CMS Collector는 Old Generation에 대한 정리작업을 Concurrent 방식으로 진행함.</t>
    <phoneticPr fontId="2" type="noConversion"/>
  </si>
  <si>
    <t>System.gc() 호출에 의한 강제적인 Full GC 작업을 Explicit GC라고 한다. 어플리케이션이나 RMI 라이브러리에서 자주 System.gc()를 자주 호출하는 경우 불필요한 Full GC가 많이 발생</t>
    <phoneticPr fontId="0" type="Hiragana"/>
  </si>
  <si>
    <t>업무팀(어플리케이션) 보안 요건으로 구성 후 별도 점검 필요한 항목임!!!</t>
    <phoneticPr fontId="2" type="noConversion"/>
  </si>
  <si>
    <t>웹로직용 I/O 처리. 먹서(Muxer) 성능 및 안정성을 위해 권장. 웹로직 서버는 Request/response를 처리하기 위해 Muxer라 불리는 내부 모듈 사용함.이러한 Muxer들은 socket reader 구현 방식에 따라 Java Muxer(java)와 Native Muxer(웹로직-posix)가 있음</t>
    <phoneticPr fontId="0" type="Hiragana"/>
  </si>
  <si>
    <t>-XX:+PrintGCDetails</t>
    <phoneticPr fontId="0" type="Hiragana"/>
  </si>
  <si>
    <t>-Dweblogic.system.BootIdentityFile</t>
    <phoneticPr fontId="0" type="Hiragana"/>
  </si>
  <si>
    <t>-D_Offline_FileDataArchive=true</t>
    <phoneticPr fontId="0" type="Hiragana"/>
  </si>
  <si>
    <t>-</t>
    <phoneticPr fontId="2" type="noConversion"/>
  </si>
  <si>
    <t>-</t>
    <phoneticPr fontId="2" type="noConversion"/>
  </si>
  <si>
    <t>OLB</t>
    <phoneticPr fontId="2" type="noConversion"/>
  </si>
  <si>
    <t>인스턴스별 적정값 적용 (초기 세팅은 Front 업무2048m, Support 업무 1024m, Admin 512m)</t>
    <phoneticPr fontId="0" type="Hiragana"/>
  </si>
  <si>
    <t>Admin은 미설정, 그 외 인스턴스는 25% 수준</t>
    <phoneticPr fontId="0" type="Hiragana"/>
  </si>
  <si>
    <t>공통 여부
(적용 위치)</t>
    <phoneticPr fontId="0" type="Hiragana"/>
  </si>
  <si>
    <t>공통
(Domain.env)</t>
    <phoneticPr fontId="2" type="noConversion"/>
  </si>
  <si>
    <t>-XX:HeapDumpPath</t>
    <phoneticPr fontId="0" type="Hiragana"/>
  </si>
  <si>
    <t>개별
(start 스크립트)</t>
    <phoneticPr fontId="2" type="noConversion"/>
  </si>
  <si>
    <t>-XX:+HeapDumpOnOutOfMemoryError</t>
    <phoneticPr fontId="0" type="Hiragana"/>
  </si>
  <si>
    <t>-XX:-UseAdaptiveSizePolicy</t>
    <phoneticPr fontId="0" type="Hiragana"/>
  </si>
  <si>
    <t>JVM New/Old 영역 자동증감 옵션 설정</t>
    <phoneticPr fontId="0" type="Hiragana"/>
  </si>
  <si>
    <t>-Dweblogic.system.BootIdentityFile=/was/weblogic12/domains/${ Domain_Name}/security/boot.properties</t>
    <phoneticPr fontId="0" type="Hiragana"/>
  </si>
  <si>
    <t>우선은 범용적으로 쓰여 안정성이 좋은 posix 사용</t>
    <phoneticPr fontId="2" type="noConversion"/>
  </si>
  <si>
    <t>-Dweblogic.MuxerClass=weblogic.socket.PosixSocketMuxer</t>
    <phoneticPr fontId="0" type="Hiragana"/>
  </si>
  <si>
    <t>-Dsun.rmi.dgc.client.gcInterval</t>
    <phoneticPr fontId="0" type="Hiragana"/>
  </si>
  <si>
    <t>-Dsun.rmi.dgc.server.gcInterval</t>
    <phoneticPr fontId="0" type="Hiragana"/>
  </si>
  <si>
    <t>-Xloggc:&lt;파일&gt;</t>
    <phoneticPr fontId="0" type="Hiragana"/>
  </si>
  <si>
    <t>-XX:PermSize</t>
    <phoneticPr fontId="0" type="Hiragana"/>
  </si>
  <si>
    <t>N/A</t>
    <phoneticPr fontId="0" type="Hiragana"/>
  </si>
  <si>
    <t xml:space="preserve">-verbose:gc </t>
    <phoneticPr fontId="0" type="Hiragana"/>
  </si>
  <si>
    <t>24</t>
  </si>
  <si>
    <t>Port
구분</t>
    <phoneticPr fontId="0" type="Hiragana"/>
  </si>
  <si>
    <t>※ 원본은 1. 미들웨어 도메인 코드 체계.xlsx 파일 참조</t>
    <phoneticPr fontId="2" type="noConversion"/>
  </si>
  <si>
    <t>WAS 도메인</t>
    <phoneticPr fontId="0" type="Hiragana"/>
  </si>
  <si>
    <t>Parameter</t>
    <phoneticPr fontId="0" type="Hiragana"/>
  </si>
  <si>
    <t>최소 256 MB (어드민 콘솔 포함)</t>
    <phoneticPr fontId="2" type="noConversion"/>
  </si>
  <si>
    <t>최소 256 MB (어드민 콘솔 포함) - 콘솔 구동을 위해서 256MB 필요(GT Plus 권고)</t>
    <phoneticPr fontId="2" type="noConversion"/>
  </si>
  <si>
    <t>시스템
코드</t>
    <phoneticPr fontId="2" type="noConversion"/>
  </si>
  <si>
    <t>디렉토리</t>
    <phoneticPr fontId="2" type="noConversion"/>
  </si>
  <si>
    <t>도메인</t>
    <phoneticPr fontId="2" type="noConversion"/>
  </si>
  <si>
    <t>구분</t>
    <phoneticPr fontId="2" type="noConversion"/>
  </si>
  <si>
    <t>노드</t>
    <phoneticPr fontId="2" type="noConversion"/>
  </si>
  <si>
    <t>서버명</t>
    <phoneticPr fontId="2" type="noConversion"/>
  </si>
  <si>
    <t>호스트명</t>
    <phoneticPr fontId="2" type="noConversion"/>
  </si>
  <si>
    <t>인스턴스</t>
    <phoneticPr fontId="2" type="noConversion"/>
  </si>
  <si>
    <t>Memory</t>
    <phoneticPr fontId="2" type="noConversion"/>
  </si>
  <si>
    <t>비고</t>
    <phoneticPr fontId="2" type="noConversion"/>
  </si>
  <si>
    <t>도메인</t>
    <phoneticPr fontId="2" type="noConversion"/>
  </si>
  <si>
    <t>코드</t>
    <phoneticPr fontId="2" type="noConversion"/>
  </si>
  <si>
    <t>용도</t>
    <phoneticPr fontId="2" type="noConversion"/>
  </si>
  <si>
    <t>도메인명</t>
    <phoneticPr fontId="2" type="noConversion"/>
  </si>
  <si>
    <t>SEQ</t>
    <phoneticPr fontId="2" type="noConversion"/>
  </si>
  <si>
    <t>인스턴스명</t>
    <phoneticPr fontId="2" type="noConversion"/>
  </si>
  <si>
    <t>서비스 내용</t>
    <phoneticPr fontId="2" type="noConversion"/>
  </si>
  <si>
    <t>Admin Instance</t>
    <phoneticPr fontId="2" type="noConversion"/>
  </si>
  <si>
    <t>로그 홈</t>
    <phoneticPr fontId="2" type="noConversion"/>
  </si>
  <si>
    <t>Xms, Xmx</t>
    <phoneticPr fontId="2" type="noConversion"/>
  </si>
  <si>
    <t>NewSize</t>
    <phoneticPr fontId="2" type="noConversion"/>
  </si>
  <si>
    <t>MaxNewSize</t>
    <phoneticPr fontId="2" type="noConversion"/>
  </si>
  <si>
    <t>PermSize</t>
    <phoneticPr fontId="2" type="noConversion"/>
  </si>
  <si>
    <t>MaxPermSize</t>
    <phoneticPr fontId="2" type="noConversion"/>
  </si>
  <si>
    <t>용도</t>
    <phoneticPr fontId="0" type="Hiragana"/>
  </si>
  <si>
    <t>도메인</t>
  </si>
  <si>
    <t>db1.t.shp.samsungcard.biz</t>
    <phoneticPr fontId="2" type="noConversion"/>
  </si>
  <si>
    <t>40.1.16.39</t>
    <phoneticPr fontId="2" type="noConversion"/>
  </si>
  <si>
    <t>FWM4</t>
    <phoneticPr fontId="2" type="noConversion"/>
  </si>
  <si>
    <t>FWM1</t>
    <phoneticPr fontId="2" type="noConversion"/>
  </si>
  <si>
    <t>TOLB</t>
    <phoneticPr fontId="2" type="noConversion"/>
  </si>
  <si>
    <t>FWM5</t>
    <phoneticPr fontId="2" type="noConversion"/>
  </si>
  <si>
    <t>db1.t.olb.samsungcard.biz</t>
    <phoneticPr fontId="2" type="noConversion"/>
  </si>
  <si>
    <t>TOLBONL</t>
    <phoneticPr fontId="2" type="noConversion"/>
  </si>
  <si>
    <t>p</t>
    <phoneticPr fontId="2" type="noConversion"/>
  </si>
  <si>
    <t>PFWMONL</t>
    <phoneticPr fontId="2" type="noConversion"/>
  </si>
  <si>
    <t>AS-IS 기준
 - 홈페이지 : 60-20 (max/min), m포켓 : 100-10, msp : 50-50, ehub : 100-30</t>
    <phoneticPr fontId="2" type="noConversion"/>
  </si>
  <si>
    <t>추가권고사항
(Solaris 11)</t>
    <phoneticPr fontId="0" type="Hiragana"/>
  </si>
  <si>
    <t>추가권고사항
(박준호 과장
검토)</t>
    <phoneticPr fontId="0" type="Hiragana"/>
  </si>
  <si>
    <t>-XX:CMSMarkStackSize</t>
    <phoneticPr fontId="2" type="noConversion"/>
  </si>
  <si>
    <t>-XX:SurvivorRatio=8</t>
    <phoneticPr fontId="2" type="noConversion"/>
  </si>
  <si>
    <t>-XX:MaxTenuringThreshold=50</t>
    <phoneticPr fontId="2" type="noConversion"/>
  </si>
  <si>
    <t>-XX:CMSInitiatingOccupancyFraction=80</t>
    <phoneticPr fontId="2" type="noConversion"/>
  </si>
  <si>
    <t>-XX:CMSMarkStackSize=96m</t>
    <phoneticPr fontId="2" type="noConversion"/>
  </si>
  <si>
    <t>-Xnoclassgc</t>
    <phoneticPr fontId="2" type="noConversion"/>
  </si>
  <si>
    <t>-XX:+UseCMSInitiatingOccupancyOnly</t>
    <phoneticPr fontId="2" type="noConversion"/>
  </si>
  <si>
    <t>Permanent Generation에 대한 GC 작업과 Class Unloading 작업의 비활성화를 위하여 -Xnoclassgc option을 적용. CMS Collector는 Permanent Generation에 대해 GC 작업을 수행하지 않으며, Class 메타데이터에 대한 Unloading 작업도 수행하지 않는다. Application의 특성상 많은 수의 Class를 동적으로 생성하고 Loading하는 경우에는 Permanent Generation에서 Out Of Memory Error가 발생</t>
    <phoneticPr fontId="2" type="noConversion"/>
  </si>
  <si>
    <t>Concurrent Full GC를 수행할 기준으로 최초에 지정된 비율을 고정적으로 사용할지의 여부를 지정하는 옵션. 최초의 비율은 CMSInitiatingOccupancyFraction 옵션에 의해 지정된다. 
CMS Collector를 사용하는 환경에서 Full GC가 자주 발생하는 경우 CMSInitiatingOccupancyFraction 옵션의 값을 낮게(50이하)로 지정하고, 이 옵션의 값을 True로 지정하는 방법을 많이 사용한다.</t>
    <phoneticPr fontId="2" type="noConversion"/>
  </si>
  <si>
    <t xml:space="preserve">CMS Collection이 시작되는 임계값을 결정하는 옵션. 
만일 이 값이 "50"이면 Old Generation이 50% 이상 사용되면 CMS GC가 시작된다. 이 값의 기본값은 "-1"이다. </t>
    <phoneticPr fontId="2" type="noConversion"/>
  </si>
  <si>
    <t>성능 테스트 수행</t>
    <phoneticPr fontId="2" type="noConversion"/>
  </si>
  <si>
    <t>-XX:CMSInitiatingOccupancyFraction</t>
    <phoneticPr fontId="2" type="noConversion"/>
  </si>
  <si>
    <t>-XX:MaxTenuringThreshold</t>
    <phoneticPr fontId="2" type="noConversion"/>
  </si>
  <si>
    <t>-XX:SurvivorRatio</t>
    <phoneticPr fontId="2" type="noConversion"/>
  </si>
  <si>
    <t>object가 Old 영역으로 이동(promotion)되기 위한 Minor GC의 횟수를 설정하는 값으로 
이 값에 따라 object의 New 영역에 얼마나 오래 존재할 지에 대한 비용이 정해진다.</t>
  </si>
  <si>
    <t>32KB</t>
    <phoneticPr fontId="2" type="noConversion"/>
  </si>
  <si>
    <t>CMS Collector사용시 STW1(initial-mark step), STW2(remark step) 의 Stack Size를 지정한다. 해당 STW의 GC Delay 를 예방하기 위한 옵션임.</t>
    <phoneticPr fontId="2" type="noConversion"/>
  </si>
  <si>
    <t>New/survivor 영역 비율 8/2
Survivor Space와 Eden Space의 비율을 지정한다. 만일 이 값이 6이면, To Survivor Ratio:From Survivor Ratio:Eden Space = 1:1:6이 된다. 즉, 하나의 Survivor Space의 크기가 Young Generation의 1/8이 된다. Survivor Space의 크기가 크면 Tenured Generation으로 옮겨가지 전의 중간 버퍼 영역이 커지는 셈이다. 따라서 Full GC의 빈도를 줄이는 역할을 할 수 있다. 반면 Eden Space의 크기가 줄어들므로 Minor GC가 자주 발생하게 된다.</t>
    <phoneticPr fontId="2" type="noConversion"/>
  </si>
  <si>
    <t>40.1.16.33</t>
    <phoneticPr fontId="2" type="noConversion"/>
  </si>
  <si>
    <t>db1.t.hpg.samsungcard.biz</t>
    <phoneticPr fontId="2" type="noConversion"/>
  </si>
  <si>
    <t>FWM1</t>
    <phoneticPr fontId="2" type="noConversion"/>
  </si>
  <si>
    <t>PHPG</t>
    <phoneticPr fontId="2" type="noConversion"/>
  </si>
  <si>
    <t>768m</t>
    <phoneticPr fontId="0" type="Hiragana"/>
  </si>
  <si>
    <t>-XX:+CMSClassUnloadingEnabled</t>
    <phoneticPr fontId="2" type="noConversion"/>
  </si>
  <si>
    <t>Perm Gen 영역의 Class도 GC하도록 설정 추가 - Perm(Class)영역이 부족 오류 대비</t>
    <phoneticPr fontId="2" type="noConversion"/>
  </si>
  <si>
    <t>오라클 구성 점검 권고</t>
    <phoneticPr fontId="2" type="noConversion"/>
  </si>
  <si>
    <t>-XX:+PrintGCDateStamps</t>
    <phoneticPr fontId="2" type="noConversion"/>
  </si>
  <si>
    <t>GC 수행 일시가 남도록 설정 추가 – 로그 분석 용이성 확보</t>
    <phoneticPr fontId="2" type="noConversion"/>
  </si>
  <si>
    <t>도메인</t>
    <phoneticPr fontId="2" type="noConversion"/>
  </si>
  <si>
    <r>
      <rPr>
        <sz val="11"/>
        <color theme="1"/>
        <rFont val="맑은 고딕"/>
        <family val="3"/>
        <charset val="129"/>
      </rPr>
      <t>※</t>
    </r>
    <r>
      <rPr>
        <sz val="11"/>
        <color theme="1"/>
        <rFont val="맑은 고딕"/>
        <family val="2"/>
        <charset val="129"/>
      </rPr>
      <t xml:space="preserve"> DR은 운영 스토리지 복제로 인스턴스명 등 구성은 동일함</t>
    </r>
    <phoneticPr fontId="2" type="noConversion"/>
  </si>
  <si>
    <t>10.226.150.40</t>
    <phoneticPr fontId="2" type="noConversion"/>
  </si>
  <si>
    <t>10.226.150.50</t>
    <phoneticPr fontId="2" type="noConversion"/>
  </si>
  <si>
    <t>db-pv2.p.hpg.samsungcard.biz</t>
    <phoneticPr fontId="2" type="noConversion"/>
  </si>
  <si>
    <t>db-pv1.p.hpg.samsungcard.biz</t>
    <phoneticPr fontId="2" type="noConversion"/>
  </si>
  <si>
    <t>T-FWM4-O</t>
  </si>
  <si>
    <t>POLB</t>
    <phoneticPr fontId="2" type="noConversion"/>
  </si>
  <si>
    <t>THPG</t>
  </si>
  <si>
    <t>T-AAP1-A</t>
  </si>
  <si>
    <t>T-AMX1-O</t>
  </si>
  <si>
    <t>PHPGONL</t>
  </si>
  <si>
    <t>POLBONL</t>
    <phoneticPr fontId="2" type="noConversion"/>
  </si>
  <si>
    <t>THPGONL</t>
  </si>
  <si>
    <t>TFWMONL</t>
  </si>
  <si>
    <t>T-BLD1-O</t>
    <phoneticPr fontId="2" type="noConversion"/>
  </si>
  <si>
    <t>T-SHP1-O</t>
  </si>
  <si>
    <t>T-CAC1-O</t>
  </si>
  <si>
    <t>TSHP</t>
  </si>
  <si>
    <t>TSHPONL</t>
  </si>
  <si>
    <t>40.1.16.42</t>
    <phoneticPr fontId="2" type="noConversion"/>
  </si>
  <si>
    <t>TCAC</t>
  </si>
  <si>
    <t>TCACONL</t>
  </si>
  <si>
    <t>V-BLD1-O</t>
  </si>
  <si>
    <t>V-FWM5-O</t>
  </si>
  <si>
    <t>VOLB</t>
    <phoneticPr fontId="2" type="noConversion"/>
  </si>
  <si>
    <t>db1.v.olb.samsungcard.biz</t>
    <phoneticPr fontId="2" type="noConversion"/>
  </si>
  <si>
    <t>40.236.150.177</t>
    <phoneticPr fontId="2" type="noConversion"/>
  </si>
  <si>
    <t>APM 구성</t>
    <phoneticPr fontId="2" type="noConversion"/>
  </si>
  <si>
    <t>콜렉터</t>
    <phoneticPr fontId="2" type="noConversion"/>
  </si>
  <si>
    <t>도메인(IP)</t>
    <phoneticPr fontId="2" type="noConversion"/>
  </si>
  <si>
    <t>Port</t>
    <phoneticPr fontId="2" type="noConversion"/>
  </si>
  <si>
    <t>운영</t>
  </si>
  <si>
    <t>cl13.p.apm.samsungcard.biz (40.226.150.235)</t>
    <phoneticPr fontId="2" type="noConversion"/>
  </si>
  <si>
    <t>F</t>
  </si>
  <si>
    <t>※ DR은 운영 스토리지 복제로 인스턴스명 등 구성은 동일함</t>
    <phoneticPr fontId="2" type="noConversion"/>
  </si>
  <si>
    <r>
      <rPr>
        <sz val="11"/>
        <color theme="1"/>
        <rFont val="맑은 고딕"/>
        <family val="3"/>
        <charset val="129"/>
      </rPr>
      <t>※ MSP</t>
    </r>
    <r>
      <rPr>
        <sz val="11"/>
        <color theme="1"/>
        <rFont val="맑은 고딕"/>
        <family val="3"/>
        <charset val="129"/>
        <scheme val="minor"/>
      </rPr>
      <t>, 구청구서 시스템은 단순이전 시스템으로 기존 AS-IS 인스턴스 규칙으로 구성함 (단순이전 Sheet 참조)</t>
    </r>
    <phoneticPr fontId="2" type="noConversion"/>
  </si>
  <si>
    <t>To-Be 적용</t>
    <phoneticPr fontId="0" type="Hiragana"/>
  </si>
  <si>
    <t>HEAPDUMP_PATH="${LOG_ROOT}/${Server_Name}/heapdump/heapdump_${Server_Name}_${DATE}.hprof"
-XX:HeapDumpPath=${HEAPDUMP_PATH}</t>
    <phoneticPr fontId="2" type="noConversion"/>
  </si>
  <si>
    <t>COREDUMP_PATH="${LOG_ROOT}/${Server_Name}/coredump/hs_err_pid%p.log"
-XX:ErrorFile=${COREDUMP_PATH}</t>
    <phoneticPr fontId="2" type="noConversion"/>
  </si>
  <si>
    <t>GT Plus 권고
성능 테스트 수행</t>
    <phoneticPr fontId="2" type="noConversion"/>
  </si>
  <si>
    <t>-XX:CodeCacheMinimumFreeSpace=8m</t>
    <phoneticPr fontId="0" type="Hiragana"/>
  </si>
  <si>
    <t>-XX:ReservedCodeCacheSize=256m</t>
    <phoneticPr fontId="0" type="Hiragana"/>
  </si>
  <si>
    <t>점검 결과</t>
    <phoneticPr fontId="2" type="noConversion"/>
  </si>
  <si>
    <t>-Dsun.zip.disableMemoryMapping=true</t>
    <phoneticPr fontId="2" type="noConversion"/>
  </si>
  <si>
    <t>-Dsun.zip.disableMemoryMapping</t>
    <phoneticPr fontId="2" type="noConversion"/>
  </si>
  <si>
    <t>Compile 수행 중 압축 파일(ex: jar) 처리 관련된 JVM Bug
 - ZIP_GetEntry 관련 Crash 현상이 발생하는 것을 방지하기 위해 Java 1.6.0_23 이후 추가된 옵션 설정 추가</t>
    <phoneticPr fontId="2" type="noConversion"/>
  </si>
  <si>
    <t>오라클 점검</t>
    <phoneticPr fontId="2" type="noConversion"/>
  </si>
  <si>
    <t>스마트워크플레이스</t>
    <phoneticPr fontId="0" type="Hiragana"/>
  </si>
  <si>
    <t>/fbpt/webroot/ezwel-welfare-user/webapp</t>
    <phoneticPr fontId="2" type="noConversion"/>
  </si>
  <si>
    <t>/log/was/weblog11/userDom/userSvr21</t>
    <phoneticPr fontId="2" type="noConversion"/>
  </si>
  <si>
    <t>/log/was/weblog11/userDom/userSvr22</t>
    <phoneticPr fontId="2" type="noConversion"/>
  </si>
  <si>
    <t>/fbpt/webroot/ezwel-welfare-cadm/webapp</t>
    <phoneticPr fontId="2" type="noConversion"/>
  </si>
  <si>
    <t>/log/was/weblog11/cadmDom/cadmSvr2</t>
    <phoneticPr fontId="2" type="noConversion"/>
  </si>
  <si>
    <t>/fbpt/webroot/ezwel-welfare-muser/webapp</t>
    <phoneticPr fontId="2" type="noConversion"/>
  </si>
  <si>
    <t xml:space="preserve"> /log/was/weblog11/muserDom/muserSvr21</t>
    <phoneticPr fontId="2" type="noConversion"/>
  </si>
  <si>
    <t>/fbpt/webroot/eHR-DTM/pdssdtm2/PDSS40</t>
    <phoneticPr fontId="2" type="noConversion"/>
  </si>
  <si>
    <t>/log/was/weblog10/dtmDom</t>
    <phoneticPr fontId="2" type="noConversion"/>
  </si>
  <si>
    <t>/fbpt/webroot/ezwel-welfare-admin/webapp</t>
    <phoneticPr fontId="2" type="noConversion"/>
  </si>
  <si>
    <t>/log/was/weblog11/adminDom/adminSvr2</t>
    <phoneticPr fontId="2" type="noConversion"/>
  </si>
  <si>
    <t>userDom</t>
    <phoneticPr fontId="2" type="noConversion"/>
  </si>
  <si>
    <t>userSvr21</t>
    <phoneticPr fontId="2" type="noConversion"/>
  </si>
  <si>
    <t>userSvr22</t>
    <phoneticPr fontId="2" type="noConversion"/>
  </si>
  <si>
    <t>cadmDom</t>
    <phoneticPr fontId="2" type="noConversion"/>
  </si>
  <si>
    <t>cadmSvr2</t>
    <phoneticPr fontId="2" type="noConversion"/>
  </si>
  <si>
    <t>muserSvr21</t>
    <phoneticPr fontId="2" type="noConversion"/>
  </si>
  <si>
    <t>dtmSvr</t>
    <phoneticPr fontId="2" type="noConversion"/>
  </si>
  <si>
    <t>adminDom</t>
    <phoneticPr fontId="2" type="noConversion"/>
  </si>
  <si>
    <t>adminSvr2</t>
    <phoneticPr fontId="2" type="noConversion"/>
  </si>
  <si>
    <t>e-Markplace</t>
    <phoneticPr fontId="2" type="noConversion"/>
  </si>
  <si>
    <t>eMarketUsr1</t>
    <phoneticPr fontId="2" type="noConversion"/>
  </si>
  <si>
    <t>eMarketUsr2</t>
    <phoneticPr fontId="2" type="noConversion"/>
  </si>
  <si>
    <t>/data2/scfranDom/applications/eMarketWebApp</t>
    <phoneticPr fontId="2" type="noConversion"/>
  </si>
  <si>
    <t>/log/WAS_APPLOG/SCFRAN</t>
    <phoneticPr fontId="2" type="noConversion"/>
  </si>
  <si>
    <t>bimDom</t>
    <phoneticPr fontId="2" type="noConversion"/>
  </si>
  <si>
    <t>bimUsr1</t>
    <phoneticPr fontId="2" type="noConversion"/>
  </si>
  <si>
    <t>/bim/wasApps</t>
    <phoneticPr fontId="2" type="noConversion"/>
  </si>
  <si>
    <t>/log/was/weblogic11/bimDom</t>
    <phoneticPr fontId="2" type="noConversion"/>
  </si>
  <si>
    <t>chongmuDom</t>
    <phoneticPr fontId="2" type="noConversion"/>
  </si>
  <si>
    <t>chongmuUsr1</t>
    <phoneticPr fontId="2" type="noConversion"/>
  </si>
  <si>
    <t>chongmuUsr2</t>
    <phoneticPr fontId="2" type="noConversion"/>
  </si>
  <si>
    <t>chongmuMgr</t>
    <phoneticPr fontId="2" type="noConversion"/>
  </si>
  <si>
    <t>/chongmu/ChongMuEAR-SNAPSHOT</t>
    <phoneticPr fontId="2" type="noConversion"/>
  </si>
  <si>
    <t>/log/chongmu/weblog10</t>
    <phoneticPr fontId="2" type="noConversion"/>
  </si>
  <si>
    <t>idesignDom</t>
    <phoneticPr fontId="2" type="noConversion"/>
  </si>
  <si>
    <t>idesignUsr1</t>
    <phoneticPr fontId="2" type="noConversion"/>
  </si>
  <si>
    <t>/design/wasApps</t>
    <phoneticPr fontId="2" type="noConversion"/>
  </si>
  <si>
    <t>/design/wasApps</t>
    <phoneticPr fontId="2" type="noConversion"/>
  </si>
  <si>
    <t>/log/idesign/weblog10</t>
    <phoneticPr fontId="2" type="noConversion"/>
  </si>
  <si>
    <t>/log/idesign/weblog10</t>
    <phoneticPr fontId="2" type="noConversion"/>
  </si>
  <si>
    <t>bimUsr2</t>
    <phoneticPr fontId="2" type="noConversion"/>
  </si>
  <si>
    <t>idesignUsr2</t>
    <phoneticPr fontId="2" type="noConversion"/>
  </si>
  <si>
    <t>sswpDom</t>
    <phoneticPr fontId="2" type="noConversion"/>
  </si>
  <si>
    <t>sswpUsr1</t>
    <phoneticPr fontId="2" type="noConversion"/>
  </si>
  <si>
    <t>sswpadmDom</t>
    <phoneticPr fontId="2" type="noConversion"/>
  </si>
  <si>
    <t>sswpAdmUsr1</t>
    <phoneticPr fontId="2" type="noConversion"/>
  </si>
  <si>
    <t>sswpmdmDom</t>
    <phoneticPr fontId="2" type="noConversion"/>
  </si>
  <si>
    <t>sswpMdmUsr1</t>
    <phoneticPr fontId="2" type="noConversion"/>
  </si>
  <si>
    <t>/sphonesw/sswp/wasApps</t>
    <phoneticPr fontId="2" type="noConversion"/>
  </si>
  <si>
    <t>/log/was/weblog10/sswpDom</t>
    <phoneticPr fontId="2" type="noConversion"/>
  </si>
  <si>
    <t>/sphonesw/sswpadm/wasApps</t>
    <phoneticPr fontId="2" type="noConversion"/>
  </si>
  <si>
    <t>/log/was/weblog10/sswpadmDom</t>
    <phoneticPr fontId="2" type="noConversion"/>
  </si>
  <si>
    <t>/sphonesw/sswpmdm/wasApps</t>
    <phoneticPr fontId="2" type="noConversion"/>
  </si>
  <si>
    <t>/log/was/weblog10/sswpmdmDom</t>
    <phoneticPr fontId="2" type="noConversion"/>
  </si>
  <si>
    <t>mallDom</t>
    <phoneticPr fontId="2" type="noConversion"/>
  </si>
  <si>
    <t>martUsr1</t>
    <phoneticPr fontId="2" type="noConversion"/>
  </si>
  <si>
    <t>martUsr2</t>
    <phoneticPr fontId="2" type="noConversion"/>
  </si>
  <si>
    <t>mallMgr</t>
    <phoneticPr fontId="2" type="noConversion"/>
  </si>
  <si>
    <t>/data2/mallDom/applications/martUsrWebApp</t>
    <phoneticPr fontId="2" type="noConversion"/>
  </si>
  <si>
    <t>/log/WAS_APPLOG/CARDMALL</t>
    <phoneticPr fontId="2" type="noConversion"/>
  </si>
  <si>
    <t>/data2/mallDom/applications/mallMgrWebApp</t>
    <phoneticPr fontId="2" type="noConversion"/>
  </si>
  <si>
    <t>scepsMgr1</t>
    <phoneticPr fontId="2" type="noConversion"/>
  </si>
  <si>
    <t>scepsUsr1</t>
    <phoneticPr fontId="2" type="noConversion"/>
  </si>
  <si>
    <t>/data2/sceps/wasAdminApp</t>
    <phoneticPr fontId="2" type="noConversion"/>
  </si>
  <si>
    <t>/log/was/weblogic10/scepsDom</t>
    <phoneticPr fontId="2" type="noConversion"/>
  </si>
  <si>
    <t>/data2/sceps/wasApp</t>
    <phoneticPr fontId="2" type="noConversion"/>
  </si>
  <si>
    <t>vmsDomain</t>
    <phoneticPr fontId="2" type="noConversion"/>
  </si>
  <si>
    <t>vms1</t>
    <phoneticPr fontId="2" type="noConversion"/>
  </si>
  <si>
    <t>/ONLINE/vms/vmsDomain/applications</t>
    <phoneticPr fontId="2" type="noConversion"/>
  </si>
  <si>
    <t>/log/was/weblog10/vms/vmsDomain</t>
    <phoneticPr fontId="2" type="noConversion"/>
  </si>
  <si>
    <t>container1</t>
    <phoneticPr fontId="2" type="noConversion"/>
  </si>
  <si>
    <t>/labor/wasApps</t>
    <phoneticPr fontId="2" type="noConversion"/>
  </si>
  <si>
    <t>/log/labor/jeus/intap02/intap02_container1</t>
    <phoneticPr fontId="2" type="noConversion"/>
  </si>
  <si>
    <t>index</t>
    <phoneticPr fontId="2" type="noConversion"/>
  </si>
  <si>
    <t>01</t>
    <phoneticPr fontId="2" type="noConversion"/>
  </si>
  <si>
    <t>02</t>
    <phoneticPr fontId="2" type="noConversion"/>
  </si>
  <si>
    <t>03</t>
  </si>
  <si>
    <t>04</t>
  </si>
  <si>
    <t>05</t>
  </si>
  <si>
    <t>06</t>
  </si>
  <si>
    <t>07</t>
  </si>
  <si>
    <t>08</t>
  </si>
  <si>
    <t>09</t>
  </si>
  <si>
    <t>10</t>
  </si>
  <si>
    <t>11</t>
  </si>
  <si>
    <t>12</t>
  </si>
  <si>
    <t>13</t>
  </si>
  <si>
    <t>14</t>
  </si>
  <si>
    <t>15</t>
  </si>
  <si>
    <t>16</t>
  </si>
  <si>
    <t>17</t>
  </si>
  <si>
    <t>18</t>
  </si>
  <si>
    <t>19</t>
  </si>
  <si>
    <t>20</t>
  </si>
  <si>
    <t>21</t>
  </si>
  <si>
    <t>22</t>
  </si>
  <si>
    <t>23</t>
  </si>
  <si>
    <t>25</t>
  </si>
  <si>
    <t>총무지원</t>
    <phoneticPr fontId="2" type="noConversion"/>
  </si>
  <si>
    <t>브랜드관리-외주</t>
    <phoneticPr fontId="2" type="noConversion"/>
  </si>
  <si>
    <t>스마트워크플레이스</t>
    <phoneticPr fontId="2" type="noConversion"/>
  </si>
  <si>
    <t>법인구매</t>
    <phoneticPr fontId="2" type="noConversion"/>
  </si>
  <si>
    <t>VOC관리</t>
    <phoneticPr fontId="2" type="noConversion"/>
  </si>
  <si>
    <t>하나로협의회</t>
    <phoneticPr fontId="2" type="noConversion"/>
  </si>
  <si>
    <t xml:space="preserve"> 선택적복지 AP #1 /  선택적복지 AP #1</t>
    <phoneticPr fontId="2" type="noConversion"/>
  </si>
  <si>
    <t xml:space="preserve"> 통합인트라넷 AP #2  /  인트라넷 AP #2</t>
    <phoneticPr fontId="2" type="noConversion"/>
  </si>
  <si>
    <t>vmsal01</t>
    <phoneticPr fontId="2" type="noConversion"/>
  </si>
  <si>
    <t xml:space="preserve">intap01/02 /   </t>
    <phoneticPr fontId="2" type="noConversion"/>
  </si>
  <si>
    <t>fbap01 / psfbap01_02</t>
    <phoneticPr fontId="2" type="noConversion"/>
  </si>
  <si>
    <t>mallap3 /  picoap01_02</t>
    <phoneticPr fontId="2" type="noConversion"/>
  </si>
  <si>
    <t>mallap5 /  picoap01_02</t>
    <phoneticPr fontId="2" type="noConversion"/>
  </si>
  <si>
    <t xml:space="preserve"> 홈페이지 외 AP #3 / 인터넷공통 AP #1_2</t>
    <phoneticPr fontId="2" type="noConversion"/>
  </si>
  <si>
    <t>GT Plus 권고
성능 테스트 수행</t>
    <phoneticPr fontId="0" type="Hiragana"/>
  </si>
  <si>
    <t>선복</t>
    <phoneticPr fontId="2" type="noConversion"/>
  </si>
  <si>
    <t xml:space="preserve"> 홈페이지 외 AP #1 / 인터넷공통 AP #1</t>
    <phoneticPr fontId="2" type="noConversion"/>
  </si>
  <si>
    <t>muserDom</t>
    <phoneticPr fontId="2" type="noConversion"/>
  </si>
  <si>
    <t>dtmDom</t>
    <phoneticPr fontId="2" type="noConversion"/>
  </si>
  <si>
    <t>scfranDom</t>
    <phoneticPr fontId="2" type="noConversion"/>
  </si>
  <si>
    <t>임직원 알뜰시장</t>
    <phoneticPr fontId="2" type="noConversion"/>
  </si>
  <si>
    <t>scepsDom</t>
    <phoneticPr fontId="2" type="noConversion"/>
  </si>
  <si>
    <t>모바일 경영Dashboard</t>
    <phoneticPr fontId="2" type="noConversion"/>
  </si>
  <si>
    <t xml:space="preserve"> 고객의 소리</t>
    <phoneticPr fontId="2" type="noConversion"/>
  </si>
  <si>
    <t>labor</t>
    <phoneticPr fontId="2" type="noConversion"/>
  </si>
  <si>
    <t>선택적복리후생</t>
    <phoneticPr fontId="2" type="noConversion"/>
  </si>
  <si>
    <t>L3</t>
    <phoneticPr fontId="0" type="Hiragana"/>
  </si>
  <si>
    <t>FLB</t>
    <phoneticPr fontId="2" type="noConversion"/>
  </si>
  <si>
    <t>userDom 2</t>
    <phoneticPr fontId="0" type="Hiragana"/>
  </si>
  <si>
    <t>선택적복지</t>
    <phoneticPr fontId="0" type="Hiragana"/>
  </si>
  <si>
    <t>인스턴스 여유분</t>
    <phoneticPr fontId="0" type="Hiragana"/>
  </si>
  <si>
    <t>분류</t>
    <phoneticPr fontId="2" type="noConversion"/>
  </si>
  <si>
    <t>적용코드</t>
    <phoneticPr fontId="2" type="noConversion"/>
  </si>
  <si>
    <t>BE1</t>
  </si>
  <si>
    <t>SP1</t>
    <phoneticPr fontId="0" type="Hiragana"/>
  </si>
  <si>
    <t>23~24</t>
    <phoneticPr fontId="0" type="Hiragana"/>
  </si>
  <si>
    <t>BIM</t>
    <phoneticPr fontId="2" type="noConversion"/>
  </si>
  <si>
    <t>27~28</t>
    <phoneticPr fontId="0" type="Hiragana"/>
  </si>
  <si>
    <t>GE2</t>
    <phoneticPr fontId="2" type="noConversion"/>
  </si>
  <si>
    <t>32~35</t>
    <phoneticPr fontId="0" type="Hiragana"/>
  </si>
  <si>
    <t>MS7</t>
    <phoneticPr fontId="2" type="noConversion"/>
  </si>
  <si>
    <t>38~40</t>
    <phoneticPr fontId="0" type="Hiragana"/>
  </si>
  <si>
    <t>WO1</t>
    <phoneticPr fontId="2" type="noConversion"/>
  </si>
  <si>
    <t>44~45</t>
    <phoneticPr fontId="0" type="Hiragana"/>
  </si>
  <si>
    <t>PS9</t>
    <phoneticPr fontId="2" type="noConversion"/>
  </si>
  <si>
    <t>47~48</t>
    <phoneticPr fontId="0" type="Hiragana"/>
  </si>
  <si>
    <t>13~15</t>
    <phoneticPr fontId="0" type="Hiragana"/>
  </si>
  <si>
    <t>PQ1</t>
    <phoneticPr fontId="0" type="Hiragana"/>
  </si>
  <si>
    <t>19~20</t>
    <phoneticPr fontId="0" type="Hiragana"/>
  </si>
  <si>
    <t>e-Markplace</t>
    <phoneticPr fontId="0" type="Hiragana"/>
  </si>
  <si>
    <t>인터넷공통</t>
    <phoneticPr fontId="0" type="Hiragana"/>
  </si>
  <si>
    <t>임직원 알뜰시장</t>
    <phoneticPr fontId="0" type="Hiragana"/>
  </si>
  <si>
    <t>법인구매</t>
    <phoneticPr fontId="0" type="Hiragana"/>
  </si>
  <si>
    <t>모바일 경영Dashboard</t>
    <phoneticPr fontId="0" type="Hiragana"/>
  </si>
  <si>
    <t>총무지원</t>
    <phoneticPr fontId="0" type="Hiragana"/>
  </si>
  <si>
    <t>스마트워크플레이스 #1</t>
    <phoneticPr fontId="0" type="Hiragana"/>
  </si>
  <si>
    <t>스마트워크플레이스 #2</t>
    <phoneticPr fontId="0" type="Hiragana"/>
  </si>
  <si>
    <t>스마트워크플레이스 #3</t>
    <phoneticPr fontId="0" type="Hiragana"/>
  </si>
  <si>
    <t>하나로협의회</t>
    <phoneticPr fontId="0" type="Hiragana"/>
  </si>
  <si>
    <t>muserDom</t>
    <phoneticPr fontId="0" type="Hiragana"/>
  </si>
  <si>
    <t>adminDom</t>
    <phoneticPr fontId="0" type="Hiragana"/>
  </si>
  <si>
    <t>scfranDom 2</t>
    <phoneticPr fontId="0" type="Hiragana"/>
  </si>
  <si>
    <t>mallDom 3</t>
    <phoneticPr fontId="0" type="Hiragana"/>
  </si>
  <si>
    <t>scepsDom 2</t>
    <phoneticPr fontId="0" type="Hiragana"/>
  </si>
  <si>
    <t>bimDom 2</t>
    <phoneticPr fontId="0" type="Hiragana"/>
  </si>
  <si>
    <t>chongmuDom 3</t>
    <phoneticPr fontId="0" type="Hiragana"/>
  </si>
  <si>
    <t>idesignDom 2</t>
    <phoneticPr fontId="0" type="Hiragana"/>
  </si>
  <si>
    <t>sswpDom</t>
    <phoneticPr fontId="2" type="noConversion"/>
  </si>
  <si>
    <t>sswpadmDom</t>
    <phoneticPr fontId="2" type="noConversion"/>
  </si>
  <si>
    <t>sswpmdmDom</t>
    <phoneticPr fontId="2" type="noConversion"/>
  </si>
  <si>
    <t>labor ( jeus )</t>
    <phoneticPr fontId="0" type="Hiragana"/>
  </si>
  <si>
    <t>vmsDomain</t>
    <phoneticPr fontId="0" type="Hiragana"/>
  </si>
  <si>
    <t xml:space="preserve"> 인트라넷 AP #2
pintap02</t>
    <phoneticPr fontId="0" type="Hiragana"/>
  </si>
  <si>
    <t xml:space="preserve"> 인트라넷</t>
    <phoneticPr fontId="0" type="Hiragana"/>
  </si>
  <si>
    <t xml:space="preserve"> 인트라넷 AP #1
pintap01</t>
    <phoneticPr fontId="0" type="Hiragana"/>
  </si>
  <si>
    <t>e-Markplace</t>
  </si>
  <si>
    <t>임직원 알뜰시장</t>
  </si>
  <si>
    <t>법인구매</t>
  </si>
  <si>
    <t>모바일 경영Dashboard</t>
  </si>
  <si>
    <t>총무지원</t>
  </si>
  <si>
    <t>브랜드관리-외주</t>
  </si>
  <si>
    <t>스마트워크플레이스 #1</t>
  </si>
  <si>
    <t>스마트워크플레이스 #2</t>
  </si>
  <si>
    <t>스마트워크플레이스 #3</t>
  </si>
  <si>
    <t>선택적복지 AP</t>
  </si>
  <si>
    <t>인터넷공통 AP #1/2
picoap01/02</t>
    <phoneticPr fontId="0" type="Hiragana"/>
  </si>
  <si>
    <t>인터넷공통 AP</t>
  </si>
  <si>
    <t>O</t>
    <phoneticPr fontId="0" type="Hiragana"/>
  </si>
  <si>
    <t>도메인 구성</t>
    <phoneticPr fontId="2" type="noConversion"/>
  </si>
  <si>
    <t>선택적복지 AP #1</t>
    <phoneticPr fontId="0" type="Hiragana"/>
  </si>
  <si>
    <t>고객서비스 ?? Instance #2</t>
    <phoneticPr fontId="2" type="noConversion"/>
  </si>
  <si>
    <t>cadmDom</t>
    <phoneticPr fontId="0" type="Hiragana"/>
  </si>
  <si>
    <t>카드서비스 ?? Instance #1</t>
    <phoneticPr fontId="2" type="noConversion"/>
  </si>
  <si>
    <t>모바일고객서비스 ?? Instance #1</t>
    <phoneticPr fontId="2" type="noConversion"/>
  </si>
  <si>
    <t>관리자서비스 ?? Instance #1</t>
    <phoneticPr fontId="2" type="noConversion"/>
  </si>
  <si>
    <t>e-Markplace</t>
    <phoneticPr fontId="2" type="noConversion"/>
  </si>
  <si>
    <t>인터넷공통 AP #1</t>
    <phoneticPr fontId="0" type="Hiragana"/>
  </si>
  <si>
    <t>선택적복지 AP #2</t>
    <phoneticPr fontId="0" type="Hiragana"/>
  </si>
  <si>
    <t>GE2</t>
    <phoneticPr fontId="2" type="noConversion"/>
  </si>
  <si>
    <t>임직원 알뜰시장</t>
    <phoneticPr fontId="2" type="noConversion"/>
  </si>
  <si>
    <t>법인구매</t>
    <phoneticPr fontId="2" type="noConversion"/>
  </si>
  <si>
    <t>스마트워크플레이스 #2</t>
    <phoneticPr fontId="2" type="noConversion"/>
  </si>
  <si>
    <t>스마트워크플레이스 #3</t>
    <phoneticPr fontId="2" type="noConversion"/>
  </si>
  <si>
    <t>e-Markplace Instance #2</t>
    <phoneticPr fontId="2" type="noConversion"/>
  </si>
  <si>
    <t>e-Markplace Instance #1</t>
    <phoneticPr fontId="2" type="noConversion"/>
  </si>
  <si>
    <t>임직원 알뜰시장</t>
    <phoneticPr fontId="2" type="noConversion"/>
  </si>
  <si>
    <t>임직원 알뜰시장 Instance #1</t>
    <phoneticPr fontId="2" type="noConversion"/>
  </si>
  <si>
    <t>임직원 알뜰시장 Instance #2</t>
    <phoneticPr fontId="2" type="noConversion"/>
  </si>
  <si>
    <t>모바일 경영Dashboard</t>
    <phoneticPr fontId="2" type="noConversion"/>
  </si>
  <si>
    <t>모바일 경영Dashboard Instance #1</t>
    <phoneticPr fontId="2" type="noConversion"/>
  </si>
  <si>
    <t>모바일 경영Dashboard Instance #2</t>
    <phoneticPr fontId="2" type="noConversion"/>
  </si>
  <si>
    <t>총무지원 Instance #1</t>
    <phoneticPr fontId="2" type="noConversion"/>
  </si>
  <si>
    <t>총무지원 Instance #2</t>
    <phoneticPr fontId="2" type="noConversion"/>
  </si>
  <si>
    <t>브랜드관리-외주 Instance #1</t>
    <phoneticPr fontId="2" type="noConversion"/>
  </si>
  <si>
    <t>브랜드관리-외주 Instance #2</t>
    <phoneticPr fontId="2" type="noConversion"/>
  </si>
  <si>
    <t>스마트워크플레이스 #1</t>
    <phoneticPr fontId="2" type="noConversion"/>
  </si>
  <si>
    <t>스마트워크플레이스 #1 Instance #1</t>
    <phoneticPr fontId="2" type="noConversion"/>
  </si>
  <si>
    <t>스마트워크플레이스 #2 Instance #1</t>
    <phoneticPr fontId="2" type="noConversion"/>
  </si>
  <si>
    <t>스마트워크플레이스 #3 Instance #1</t>
    <phoneticPr fontId="2" type="noConversion"/>
  </si>
  <si>
    <t>S</t>
    <phoneticPr fontId="2" type="noConversion"/>
  </si>
  <si>
    <t>하나로협의회 Instance #1</t>
    <phoneticPr fontId="2" type="noConversion"/>
  </si>
  <si>
    <t>하나로협의회</t>
    <phoneticPr fontId="0" type="Hiragana"/>
  </si>
  <si>
    <t>PS9</t>
    <phoneticPr fontId="2" type="noConversion"/>
  </si>
  <si>
    <t>인터넷공통 AP #2</t>
    <phoneticPr fontId="0" type="Hiragana"/>
  </si>
  <si>
    <t>PS9</t>
    <phoneticPr fontId="2" type="noConversion"/>
  </si>
  <si>
    <t xml:space="preserve">VOC 관리 </t>
    <phoneticPr fontId="0" type="Hiragana"/>
  </si>
  <si>
    <t>인트라넷 AP</t>
    <phoneticPr fontId="0" type="Hiragana"/>
  </si>
  <si>
    <t>인트라넷 AP #1</t>
    <phoneticPr fontId="0" type="Hiragana"/>
  </si>
  <si>
    <t>VOC 관리 Instance #1</t>
    <phoneticPr fontId="2" type="noConversion"/>
  </si>
  <si>
    <t>O</t>
    <phoneticPr fontId="2" type="noConversion"/>
  </si>
  <si>
    <t>F</t>
    <phoneticPr fontId="2" type="noConversion"/>
  </si>
  <si>
    <t>VOC 관리-고객의 소리</t>
    <phoneticPr fontId="0" type="Hiragana"/>
  </si>
  <si>
    <t>VOC 관리-고객의 소리</t>
    <phoneticPr fontId="0" type="Hiragana"/>
  </si>
  <si>
    <t>인트라넷 AP #2</t>
    <phoneticPr fontId="0" type="Hiragana"/>
  </si>
  <si>
    <t>인터넷공통 개발 AP #1</t>
    <phoneticPr fontId="2" type="noConversion"/>
  </si>
  <si>
    <t>e-Markplace</t>
    <phoneticPr fontId="0" type="Hiragana"/>
  </si>
  <si>
    <t>임직원 알뜰시장</t>
    <phoneticPr fontId="0" type="Hiragana"/>
  </si>
  <si>
    <t>모바일 경영Dashboard</t>
    <phoneticPr fontId="0" type="Hiragana"/>
  </si>
  <si>
    <t>총무지원</t>
    <phoneticPr fontId="0" type="Hiragana"/>
  </si>
  <si>
    <t>브랜드관리-외주</t>
    <phoneticPr fontId="0" type="Hiragana"/>
  </si>
  <si>
    <t>스마트워크플레이스 #1</t>
    <phoneticPr fontId="0" type="Hiragana"/>
  </si>
  <si>
    <t>스마트워크플레이스 #2</t>
    <phoneticPr fontId="0" type="Hiragana"/>
  </si>
  <si>
    <t>스마트워크플레이스 #3</t>
    <phoneticPr fontId="0" type="Hiragana"/>
  </si>
  <si>
    <t>하나로협의회</t>
    <phoneticPr fontId="0" type="Hiragana"/>
  </si>
  <si>
    <t>임직원 알뜰시장</t>
    <phoneticPr fontId="2" type="noConversion"/>
  </si>
  <si>
    <t>임직원 알뜰시장 관리자 Instance #1</t>
    <phoneticPr fontId="2" type="noConversion"/>
  </si>
  <si>
    <t>법인구매 고객 Instance #1</t>
    <phoneticPr fontId="2" type="noConversion"/>
  </si>
  <si>
    <t>법인구매 관리자 Instance #1</t>
    <phoneticPr fontId="2" type="noConversion"/>
  </si>
  <si>
    <t>총무지원 관리자 Instance #1</t>
    <phoneticPr fontId="2" type="noConversion"/>
  </si>
  <si>
    <t>O</t>
    <phoneticPr fontId="2" type="noConversion"/>
  </si>
  <si>
    <t>F</t>
    <phoneticPr fontId="2" type="noConversion"/>
  </si>
  <si>
    <t>임직원 알뜰시장 Instance #1</t>
    <phoneticPr fontId="2" type="noConversion"/>
  </si>
  <si>
    <t>t</t>
    <phoneticPr fontId="0" type="Hiragana"/>
  </si>
  <si>
    <t>총무지원 Instance #1</t>
    <phoneticPr fontId="2" type="noConversion"/>
  </si>
  <si>
    <t>O</t>
    <phoneticPr fontId="2" type="noConversion"/>
  </si>
  <si>
    <t>F</t>
    <phoneticPr fontId="2" type="noConversion"/>
  </si>
  <si>
    <t>d</t>
    <phoneticPr fontId="0" type="Hiragana"/>
  </si>
  <si>
    <t>offset</t>
    <phoneticPr fontId="2" type="noConversion"/>
  </si>
  <si>
    <t>Ajp-port</t>
    <phoneticPr fontId="2" type="noConversion"/>
  </si>
  <si>
    <t>Http-port</t>
    <phoneticPr fontId="2" type="noConversion"/>
  </si>
  <si>
    <t>Admin-console-port</t>
    <phoneticPr fontId="2" type="noConversion"/>
  </si>
  <si>
    <t>Admin-cli-port</t>
    <phoneticPr fontId="2" type="noConversion"/>
  </si>
  <si>
    <t>JBoss 인스턴스 구성</t>
    <phoneticPr fontId="2" type="noConversion"/>
  </si>
  <si>
    <t>p</t>
    <phoneticPr fontId="0" type="Hiragana"/>
  </si>
  <si>
    <t>PS9</t>
    <phoneticPr fontId="2" type="noConversion"/>
  </si>
  <si>
    <t>P-USR1-O</t>
  </si>
  <si>
    <t>P-CAD1-O</t>
  </si>
  <si>
    <t>d</t>
    <phoneticPr fontId="2" type="noConversion"/>
  </si>
  <si>
    <t>HPG</t>
    <phoneticPr fontId="2" type="noConversion"/>
  </si>
  <si>
    <t>성능 Parameter</t>
  </si>
  <si>
    <t>Native 설정</t>
    <phoneticPr fontId="0" type="Hiragana"/>
  </si>
  <si>
    <t>DataSource</t>
  </si>
  <si>
    <t>Initial Capacity ( min size )</t>
    <phoneticPr fontId="2" type="noConversion"/>
  </si>
  <si>
    <t>Maximum Capacity ( max size )</t>
    <phoneticPr fontId="2" type="noConversion"/>
  </si>
  <si>
    <t>2. EAP6/7
standalone-ha.xml에서 아래 두개 항목 모두 설정
2.1  valid check 설정 
 &lt;check-valid-conntion-sql&gt;이 있거나(or)
 &lt;valid-connection-checker&gt;가 설정되어 있는경우
2.2 valid check 활성화
  &lt;backgroud-validation&gt;true&lt;/backgroud-validation&gt;</t>
    <phoneticPr fontId="0" type="Hiragana"/>
  </si>
  <si>
    <t>60 (Default)
2.EAP6
2.1 standalone-ha.xml에서 
"org.apache.coyote.ajp.DEFAULT_CONNECTION_TIMEOUT" 값 확인
2.2 또는 별도의 OS환경변수 설정내용 확인
3.EAP7
3.1 standalne-ha.xml에서 ajp-listener 의 no-request-timeout 값 확인
(ms 단위 주의)</t>
    <phoneticPr fontId="0" type="Hiragana"/>
  </si>
  <si>
    <t>60
2.EAP6
2.1 standalone-ha.xml에서 
"org.apache.coyote.http11.DEFAULT_CONNECTION_TIMEOUT" 값 확인
2.2 또는 별도의 OS환경변수 설정내용 확인
3.EAP7
3.1 standalne-ha.xml에서 http-listener 의 no-request-timeout 값 확인
(ms 단위 주의)</t>
    <phoneticPr fontId="2" type="noConversion"/>
  </si>
  <si>
    <r>
      <t xml:space="preserve">&lt;subsystem xmlns="urn:jboss:domain:web:x.x" default-virtual-server="default-host" </t>
    </r>
    <r>
      <rPr>
        <b/>
        <sz val="10"/>
        <color rgb="FFFF0000"/>
        <rFont val="맑은 고딕"/>
        <family val="3"/>
        <charset val="129"/>
        <scheme val="minor"/>
      </rPr>
      <t>native="true"</t>
    </r>
    <r>
      <rPr>
        <sz val="10"/>
        <color rgb="FF000000"/>
        <rFont val="맑은 고딕"/>
        <family val="3"/>
        <charset val="129"/>
        <scheme val="minor"/>
      </rPr>
      <t>&gt;</t>
    </r>
    <phoneticPr fontId="0" type="Hiragana"/>
  </si>
  <si>
    <r>
      <t xml:space="preserve">5
EAP7 Only
1.1 "$INSTANCE_HOME/bin/jboss-cli.sh /subsystem=io/worker=default:read-resource " 수행
io-threads 속성값 확인
1.2 tandalone-ha.xml 에서 
&lt;worker name="default" task-max-threads="512" </t>
    </r>
    <r>
      <rPr>
        <b/>
        <sz val="10"/>
        <color rgb="FFFF0000"/>
        <rFont val="맑은 고딕"/>
        <family val="3"/>
        <charset val="129"/>
        <scheme val="minor"/>
      </rPr>
      <t>io-threads="5"</t>
    </r>
    <r>
      <rPr>
        <sz val="10"/>
        <color theme="1"/>
        <rFont val="맑은 고딕"/>
        <family val="3"/>
        <charset val="129"/>
        <scheme val="minor"/>
      </rPr>
      <t>/&gt; 확인  (없으면 기본값)</t>
    </r>
    <phoneticPr fontId="2" type="noConversion"/>
  </si>
  <si>
    <t>JBoss
설정값</t>
    <phoneticPr fontId="0" type="Hiragana"/>
  </si>
  <si>
    <t>5000  ms
2.EAP6/7
standalone-ha.xml의 해당 datasource에서 
&lt;blocking-timeout-millis&gt;5000&lt;/blocking-timeout-millis&gt; 확인</t>
    <phoneticPr fontId="2" type="noConversion"/>
  </si>
  <si>
    <t>&lt;datasource ... enabled="true" use-ccm="true"&gt;
&lt;cached-connection-manager debug="true" error="false"/&gt;</t>
    <phoneticPr fontId="0" type="Hiragana"/>
  </si>
  <si>
    <t>e-Markplace</t>
    <phoneticPr fontId="0" type="Hiragana"/>
  </si>
  <si>
    <t>모바일 경영Dashboard</t>
    <phoneticPr fontId="0" type="Hiragana"/>
  </si>
  <si>
    <t>관리 업무/솔루션 인스턴스</t>
    <phoneticPr fontId="0" type="Hiragana"/>
  </si>
  <si>
    <t xml:space="preserve"> 선택적복지 AP #1/2
psfbap01/02</t>
    <phoneticPr fontId="0" type="Hiragana"/>
  </si>
  <si>
    <t>io-threads</t>
    <phoneticPr fontId="0" type="Hiragana"/>
  </si>
  <si>
    <t xml:space="preserve">Native 부분과 마찬가지로 File 혹은 Network 을 성능 향상을 위한 io thread 항목이다.
</t>
    <phoneticPr fontId="0" type="Hiragana"/>
  </si>
  <si>
    <t>Jboss에 OS Native 설정을 통해 성능 향상을 할 수 있다.</t>
    <phoneticPr fontId="0" type="Hiragana"/>
  </si>
  <si>
    <t>thread pooling
(maxThreads)</t>
    <phoneticPr fontId="0" type="Hiragana"/>
  </si>
  <si>
    <t xml:space="preserve">실행 Thread 에 대한 설정을 통해서 Capacity를 지정한다.
</t>
    <phoneticPr fontId="0" type="Hiragana"/>
  </si>
  <si>
    <t>512
1. EAP6
1.1 standalone-ha.xml 에서 "thread-factory" 생성확인 (AJP, HTTP용 Excute Thread Pool 별도생성)
&lt;subsystem xmlns="urn:jboss:domain:threads:1.1"&gt;
            &lt;bounded-queue-thread-pool name="http-thread-pool"&gt;  
                  &lt;queue-length count="250"/&gt;  
                  &lt;core-threads count="500"/&gt;  
                  &lt;max-threads count="500"/&gt;  
           &lt;/bounded-queue-thread-pool&gt;  
        &lt;/subsystem&gt;
        ...
        &lt;subsystem xmlns="urn:jboss:domain:web:1.5" default-virtual-server="default-host" native="false"&gt;
            &lt;connector name="http" protocol="HTTP/1.1" scheme="http" socket-binding="http" executor="http-thread-pool"/&gt;
...        &lt;/subsystem&gt;
2.2 thread-factory에서 "max-threads" 속성 확인
※ maxThreads &gt;= Working Thread (DB pool + ldap Pool + custom Pool + etc Pool) * 125%
2. EAP7
3.1 "$INSTANCE_HOME/bin/jboss-cli.sh /subsystem=io/worker=default:read-resource " 수행
task-max-threads 속성값 확인
3.2 standalone-ha.xml 에서 
&lt;worker name="default" task-max-threads="512" /&gt; 확인
(없으면 기본값)</t>
    <phoneticPr fontId="2" type="noConversion"/>
  </si>
  <si>
    <r>
      <t xml:space="preserve">가용할수 있는 thread 가 없을 경우 대기할 queue size
TCP Connection 이 wait queue 에 저장되는 최대 개수. 큐의는 OS의 tcp stack으로 받은 연결 요청 만큼 증가
DB pool 개수 보다 최소 20% 이상 조정
2. EAP6 (하기 2.1항 &amp;2.2항 모두확인)
2.1 standalone-ha.xml에서 WAIT_FOR_THREAD true 확인
&lt;system-properties&gt;
       &lt;property name="org.apache.tomcat.util.net.Constants.WAIT_FOR_THREAD" value="true"/&gt;
    &lt;/system-properties&gt;
2.2 standalone-ha.xml에서 queue-length count 설정값 확인
&lt;subsystem xmlns="urn:jboss:domain:threads:1.1"&gt;
            &lt;bounded-queue-thread-pool name="http-thread-pool"&gt;  
</t>
    </r>
    <r>
      <rPr>
        <b/>
        <sz val="10"/>
        <color rgb="FFFF0000"/>
        <rFont val="맑은 고딕"/>
        <family val="3"/>
        <charset val="129"/>
        <scheme val="minor"/>
      </rPr>
      <t xml:space="preserve">                  &lt;queue-length count="250"/&gt;</t>
    </r>
    <r>
      <rPr>
        <sz val="10"/>
        <color theme="1"/>
        <rFont val="맑은 고딕"/>
        <family val="3"/>
        <charset val="129"/>
        <scheme val="minor"/>
      </rPr>
      <t xml:space="preserve">
                  &lt;core-threads count="500"/&gt;
                  &lt;max-threads count="500"/&gt;
           &lt;/bounded-queue-thread-pool&gt;  
        &lt;/subsystem&gt;
        ...
        &lt;subsystem xmlns="urn:jboss:domain:web:1.5" default-virtual-server="default-host" native="false"&gt;
            &lt;connector name="http" protocol="HTTP/1.1" scheme="http" socket-binding="http" executor="http-thread-pool"/&gt;
...        &lt;/subsystem&gt;
3. EAP7 : NA
</t>
    </r>
    <phoneticPr fontId="2" type="noConversion"/>
  </si>
  <si>
    <t xml:space="preserve">HTTP 연결시 Connection 연결 후 대기할 시간 설정 </t>
    <phoneticPr fontId="2" type="noConversion"/>
  </si>
  <si>
    <t>memory가 높은 사양과 동일 쿼리가 많은 시스템에서는 해당 cache를 상향 조정하며,
그 외의 시스템에서 약간의 성능을 감수하고 WLS/DBMS 메모리를 사용량을 줄일 수 있도록 Cache 크기 줄임</t>
    <phoneticPr fontId="0" type="Hiragana"/>
  </si>
  <si>
    <t>acceptCount</t>
    <phoneticPr fontId="2" type="noConversion"/>
  </si>
  <si>
    <t>query Timeout</t>
    <phoneticPr fontId="2" type="noConversion"/>
  </si>
  <si>
    <t>PreparedStatement Cache Size</t>
    <phoneticPr fontId="0" type="Hiragana"/>
  </si>
  <si>
    <t>DB connection Leak 
추적 기능 활성화</t>
    <phoneticPr fontId="0" type="Hiragana"/>
  </si>
  <si>
    <t>HTTP connectionTimeout</t>
    <phoneticPr fontId="2" type="noConversion"/>
  </si>
  <si>
    <t>AJP connectionTimeout</t>
    <phoneticPr fontId="2" type="noConversion"/>
  </si>
  <si>
    <t>check-valid-connection-sql</t>
    <phoneticPr fontId="0" type="Hiragana"/>
  </si>
  <si>
    <t xml:space="preserve">blocking-timeout-millis </t>
    <phoneticPr fontId="2" type="noConversion"/>
  </si>
  <si>
    <t>db query에 대한 Timeout으로 잘 정리되지 않는 Transaction을 정리</t>
    <phoneticPr fontId="0" type="Hiragana"/>
  </si>
  <si>
    <t>MS71</t>
    <phoneticPr fontId="0" type="Hiragana"/>
  </si>
  <si>
    <t>PQ11</t>
    <phoneticPr fontId="0" type="Hiragana"/>
  </si>
  <si>
    <t>SP11</t>
    <phoneticPr fontId="0" type="Hiragana"/>
  </si>
  <si>
    <t>JBOSS EAP Directory</t>
    <phoneticPr fontId="2" type="noConversion"/>
  </si>
  <si>
    <t>JBOSS 설치 Directory</t>
    <phoneticPr fontId="2" type="noConversion"/>
  </si>
  <si>
    <t>/jbosseap7</t>
    <phoneticPr fontId="2" type="noConversion"/>
  </si>
  <si>
    <t>/bin</t>
    <phoneticPr fontId="2" type="noConversion"/>
  </si>
  <si>
    <t>/modules</t>
    <phoneticPr fontId="2" type="noConversion"/>
  </si>
  <si>
    <t>/bundles</t>
    <phoneticPr fontId="2" type="noConversion"/>
  </si>
  <si>
    <t>/docs</t>
    <phoneticPr fontId="2" type="noConversion"/>
  </si>
  <si>
    <t>/welcome-content</t>
    <phoneticPr fontId="2" type="noConversion"/>
  </si>
  <si>
    <t>/appclient</t>
    <phoneticPr fontId="2" type="noConversion"/>
  </si>
  <si>
    <t>/standalone</t>
    <phoneticPr fontId="2" type="noConversion"/>
  </si>
  <si>
    <t>/configuration</t>
    <phoneticPr fontId="2" type="noConversion"/>
  </si>
  <si>
    <t>/data</t>
    <phoneticPr fontId="2" type="noConversion"/>
  </si>
  <si>
    <t>/deployments</t>
    <phoneticPr fontId="2" type="noConversion"/>
  </si>
  <si>
    <t>/lib/ext</t>
    <phoneticPr fontId="2" type="noConversion"/>
  </si>
  <si>
    <t>/log</t>
    <phoneticPr fontId="2" type="noConversion"/>
  </si>
  <si>
    <t>/temp</t>
    <phoneticPr fontId="2" type="noConversion"/>
  </si>
  <si>
    <t>/domain</t>
    <phoneticPr fontId="2" type="noConversion"/>
  </si>
  <si>
    <t>/tmp</t>
    <phoneticPr fontId="2" type="noConversion"/>
  </si>
  <si>
    <t>/servers</t>
    <phoneticPr fontId="2" type="noConversion"/>
  </si>
  <si>
    <t>필요 size</t>
    <phoneticPr fontId="2" type="noConversion"/>
  </si>
  <si>
    <t>10G</t>
    <phoneticPr fontId="2" type="noConversion"/>
  </si>
  <si>
    <t>별도DIR로</t>
    <phoneticPr fontId="2" type="noConversion"/>
  </si>
  <si>
    <t>별도DIR로</t>
    <phoneticPr fontId="2" type="noConversion"/>
  </si>
  <si>
    <t>20G</t>
    <phoneticPr fontId="2" type="noConversion"/>
  </si>
  <si>
    <t>2G</t>
    <phoneticPr fontId="2" type="noConversion"/>
  </si>
  <si>
    <t>as-is dir</t>
    <phoneticPr fontId="2" type="noConversion"/>
  </si>
  <si>
    <t>Apache 설치 Directory</t>
    <phoneticPr fontId="2" type="noConversion"/>
  </si>
  <si>
    <t>/jbossews</t>
    <phoneticPr fontId="2" type="noConversion"/>
  </si>
  <si>
    <t>/conf</t>
    <phoneticPr fontId="2" type="noConversion"/>
  </si>
  <si>
    <t>/lib</t>
    <phoneticPr fontId="2" type="noConversion"/>
  </si>
  <si>
    <t>/logs</t>
    <phoneticPr fontId="2" type="noConversion"/>
  </si>
  <si>
    <t>/webapps</t>
    <phoneticPr fontId="2" type="noConversion"/>
  </si>
  <si>
    <t>/work</t>
    <phoneticPr fontId="2" type="noConversion"/>
  </si>
  <si>
    <t>/fbpt/webroot/ezwel-welfare-user/webapp</t>
    <phoneticPr fontId="2" type="noConversion"/>
  </si>
  <si>
    <t>BE1</t>
    <phoneticPr fontId="0" type="Hiragana"/>
  </si>
  <si>
    <t>VMS</t>
    <phoneticPr fontId="2" type="noConversion"/>
  </si>
  <si>
    <t>PQ1</t>
    <phoneticPr fontId="0" type="Hiragana"/>
  </si>
  <si>
    <t>SV11</t>
    <phoneticPr fontId="0" type="Hiragana"/>
  </si>
  <si>
    <t>SV12</t>
    <phoneticPr fontId="0" type="Hiragana"/>
  </si>
  <si>
    <t>SV13</t>
    <phoneticPr fontId="0" type="Hiragana"/>
  </si>
  <si>
    <t>SV14</t>
    <phoneticPr fontId="0" type="Hiragana"/>
  </si>
  <si>
    <t>WO12</t>
    <phoneticPr fontId="0" type="Hiragana"/>
  </si>
  <si>
    <t>BE11</t>
    <phoneticPr fontId="0" type="Hiragana"/>
  </si>
  <si>
    <t>GE21</t>
    <phoneticPr fontId="0" type="Hiragana"/>
  </si>
  <si>
    <t>PS91</t>
    <phoneticPr fontId="0" type="Hiragana"/>
  </si>
  <si>
    <t>VMS1</t>
    <phoneticPr fontId="0" type="Hiragana"/>
  </si>
  <si>
    <t>BIM1</t>
    <phoneticPr fontId="0" type="Hiragana"/>
  </si>
  <si>
    <t>WO11</t>
    <phoneticPr fontId="0" type="Hiragana"/>
  </si>
  <si>
    <t>O</t>
    <phoneticPr fontId="2" type="noConversion"/>
  </si>
  <si>
    <t>O</t>
    <phoneticPr fontId="2" type="noConversion"/>
  </si>
  <si>
    <t>S</t>
    <phoneticPr fontId="2" type="noConversion"/>
  </si>
  <si>
    <t>F</t>
    <phoneticPr fontId="2" type="noConversion"/>
  </si>
  <si>
    <t>F</t>
    <phoneticPr fontId="2" type="noConversion"/>
  </si>
  <si>
    <t>WO13</t>
    <phoneticPr fontId="0" type="Hiragana"/>
  </si>
  <si>
    <t>VMS</t>
    <phoneticPr fontId="2" type="noConversion"/>
  </si>
  <si>
    <t>/flb/sv1/sv11/wasApps</t>
    <phoneticPr fontId="2" type="noConversion"/>
  </si>
  <si>
    <t>/flb/sv12/wasApps</t>
    <phoneticPr fontId="2" type="noConversion"/>
  </si>
  <si>
    <t>최종</t>
    <phoneticPr fontId="0" type="Hiragana"/>
  </si>
  <si>
    <t>도메인코드</t>
    <phoneticPr fontId="0" type="Hiragana"/>
  </si>
  <si>
    <t>시스템코드</t>
    <phoneticPr fontId="0" type="Hiragana"/>
  </si>
  <si>
    <t>FLB</t>
    <phoneticPr fontId="2" type="noConversion"/>
  </si>
  <si>
    <t>FLB</t>
    <phoneticPr fontId="0" type="Hiragana"/>
  </si>
  <si>
    <t>06~10</t>
    <phoneticPr fontId="0" type="Hiragana"/>
  </si>
  <si>
    <t>S</t>
    <phoneticPr fontId="2" type="noConversion"/>
  </si>
  <si>
    <t>web-Http-port</t>
    <phoneticPr fontId="2" type="noConversion"/>
  </si>
  <si>
    <t>web-Https-port</t>
    <phoneticPr fontId="2" type="noConversion"/>
  </si>
  <si>
    <t>WEB Server Directory</t>
    <phoneticPr fontId="2" type="noConversion"/>
  </si>
  <si>
    <t>SV1</t>
    <phoneticPr fontId="2" type="noConversion"/>
  </si>
  <si>
    <t>SV1</t>
    <phoneticPr fontId="2" type="noConversion"/>
  </si>
  <si>
    <t>SV1</t>
    <phoneticPr fontId="2" type="noConversion"/>
  </si>
  <si>
    <t>SV1</t>
    <phoneticPr fontId="2" type="noConversion"/>
  </si>
  <si>
    <t>Applicatin Root</t>
    <phoneticPr fontId="2" type="noConversion"/>
  </si>
  <si>
    <t>계열사 어드민</t>
    <phoneticPr fontId="0" type="Hiragana"/>
  </si>
  <si>
    <t>계열사 어드민</t>
    <phoneticPr fontId="0" type="Hiragana"/>
  </si>
  <si>
    <t>계열사 어드민</t>
    <phoneticPr fontId="0" type="Hiragana"/>
  </si>
  <si>
    <t>고객서비스</t>
    <phoneticPr fontId="2" type="noConversion"/>
  </si>
  <si>
    <t>고객서비스</t>
    <phoneticPr fontId="0" type="Hiragana"/>
  </si>
  <si>
    <t>모바일고객서비스</t>
    <phoneticPr fontId="0" type="Hiragana"/>
  </si>
  <si>
    <t>모바일고객서비스</t>
    <phoneticPr fontId="0" type="Hiragana"/>
  </si>
  <si>
    <t>모바일고객서비스</t>
    <phoneticPr fontId="0" type="Hiragana"/>
  </si>
  <si>
    <t>선복 관리자서비스</t>
    <phoneticPr fontId="0" type="Hiragana"/>
  </si>
  <si>
    <t>선복 관리자서비스</t>
    <phoneticPr fontId="0" type="Hiragana"/>
  </si>
  <si>
    <t>SV11</t>
  </si>
  <si>
    <t>SV12</t>
  </si>
  <si>
    <t>SV13</t>
  </si>
  <si>
    <t>SV14</t>
  </si>
  <si>
    <t>BE11</t>
  </si>
  <si>
    <t>PQ11</t>
  </si>
  <si>
    <t>SP11</t>
  </si>
  <si>
    <t>BIM1</t>
  </si>
  <si>
    <t>GE21</t>
  </si>
  <si>
    <t>MS71</t>
  </si>
  <si>
    <t>WO11</t>
  </si>
  <si>
    <t>WO12</t>
  </si>
  <si>
    <t>WO13</t>
  </si>
  <si>
    <t>PS91</t>
  </si>
  <si>
    <t>VMS1</t>
  </si>
  <si>
    <t>T-SV11-O</t>
  </si>
  <si>
    <t>T-SV12-O</t>
  </si>
  <si>
    <t>T-SV13-O</t>
  </si>
  <si>
    <t>T-SV14-O</t>
  </si>
  <si>
    <t>T-BE11-O</t>
  </si>
  <si>
    <t>T-PQ11-O</t>
  </si>
  <si>
    <t>T-SP11-O</t>
  </si>
  <si>
    <t>T-BIM1-O</t>
  </si>
  <si>
    <t>T-GE21-O</t>
  </si>
  <si>
    <t>T-MS71-O</t>
  </si>
  <si>
    <t>T-WO11-O</t>
  </si>
  <si>
    <t>T-WO12-O</t>
  </si>
  <si>
    <t>T-WO13-O</t>
  </si>
  <si>
    <t>T-PS91-O</t>
  </si>
  <si>
    <t>T-VMS1-O</t>
  </si>
  <si>
    <t>T-SV11-O-F11</t>
  </si>
  <si>
    <t>T-SV12-O-S11</t>
  </si>
  <si>
    <t>T-SV13-O-F11</t>
  </si>
  <si>
    <t>T-SV14-O-S11</t>
  </si>
  <si>
    <t>T-BE11-O-F11</t>
  </si>
  <si>
    <t>T-PQ11-O-F11</t>
  </si>
  <si>
    <t>T-PQ11-O-S11</t>
  </si>
  <si>
    <t>T-SP11-O-F11</t>
  </si>
  <si>
    <t>T-SP11-O-S11</t>
  </si>
  <si>
    <t>T-BIM1-O-F11</t>
  </si>
  <si>
    <t>T-GE21-O-F11</t>
  </si>
  <si>
    <t>T-GE21-O-S11</t>
  </si>
  <si>
    <t>T-MS71-O-F11</t>
  </si>
  <si>
    <t>T-WO11-O-F11</t>
  </si>
  <si>
    <t>T-WO12-O-S11</t>
  </si>
  <si>
    <t>T-WO13-O-S11</t>
  </si>
  <si>
    <t>T-PS91-O-F11</t>
  </si>
  <si>
    <t>T-VMS1-O-F11</t>
  </si>
  <si>
    <t xml:space="preserve">VOC 관리 Instance #1 </t>
    <phoneticPr fontId="2" type="noConversion"/>
  </si>
  <si>
    <t>PPAS</t>
    <phoneticPr fontId="2" type="noConversion"/>
  </si>
  <si>
    <t>TSWP</t>
    <phoneticPr fontId="2" type="noConversion"/>
  </si>
  <si>
    <t>40.10.22.58</t>
  </si>
  <si>
    <t>psphoneswonl</t>
  </si>
  <si>
    <t>sswpDs</t>
  </si>
  <si>
    <t>TICO</t>
    <phoneticPr fontId="2" type="noConversion"/>
  </si>
  <si>
    <t>40.10.22.58</t>
    <phoneticPr fontId="2" type="noConversion"/>
  </si>
  <si>
    <t>SilkroadDataSource</t>
  </si>
  <si>
    <t>40.10.22.58</t>
    <phoneticPr fontId="2" type="noConversion"/>
  </si>
  <si>
    <t>scfran</t>
    <phoneticPr fontId="2" type="noConversion"/>
  </si>
  <si>
    <t>sceps</t>
    <phoneticPr fontId="2" type="noConversion"/>
  </si>
  <si>
    <t>scepsPool</t>
  </si>
  <si>
    <t>TCHONGMU</t>
  </si>
  <si>
    <t>oracleDs</t>
  </si>
  <si>
    <t>TFLB</t>
    <phoneticPr fontId="2" type="noConversion"/>
  </si>
  <si>
    <t>ezwel</t>
    <phoneticPr fontId="2" type="noConversion"/>
  </si>
  <si>
    <t>DS-SMSDEV1-PSPH-NXA</t>
  </si>
  <si>
    <t>Instance명</t>
    <phoneticPr fontId="2" type="noConversion"/>
  </si>
  <si>
    <t>jdbc/dataSourceMain
jdbc/dataSourceStatView</t>
    <phoneticPr fontId="2" type="noConversion"/>
  </si>
  <si>
    <t>pmallonl</t>
    <phoneticPr fontId="2" type="noConversion"/>
  </si>
  <si>
    <t>CardmallPoolDS
EMAIL</t>
    <phoneticPr fontId="2" type="noConversion"/>
  </si>
  <si>
    <t>jdbc/dataSourceMain</t>
    <phoneticPr fontId="2" type="noConversion"/>
  </si>
  <si>
    <t>Oracle/TFLB</t>
    <phoneticPr fontId="2" type="noConversion"/>
  </si>
  <si>
    <t>Oracle/TFLB</t>
    <phoneticPr fontId="2" type="noConversion"/>
  </si>
  <si>
    <t>Oracle/TICO</t>
    <phoneticPr fontId="2" type="noConversion"/>
  </si>
  <si>
    <t>Oracle/TSWP</t>
    <phoneticPr fontId="2" type="noConversion"/>
  </si>
  <si>
    <t>미정</t>
    <phoneticPr fontId="2" type="noConversion"/>
  </si>
  <si>
    <t>db1.t.ico.samsungcard.biz</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</si>
</sst>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1" formatCode="_-* #,##0_-;\-* #,##0_-;_-* &quot;-&quot;_-;_-@_-"/>
    <numFmt numFmtId="176" formatCode="0_);[Red]\(0\)"/>
  </numFmts>
  <fonts count="29">
    <font>
      <sz val="11"/>
      <color theme="1"/>
      <name val="맑은 고딕"/>
      <family val="2"/>
      <charset val="129"/>
      <scheme val="minor"/>
    </font>
    <font>
      <sz val="11"/>
      <color theme="1"/>
      <name val="맑은 고딕"/>
      <family val="2"/>
      <charset val="129"/>
      <scheme val="minor"/>
    </font>
    <font>
      <sz val="8"/>
      <name val="맑은 고딕"/>
      <family val="2"/>
      <charset val="129"/>
      <scheme val="minor"/>
    </font>
    <font>
      <b/>
      <sz val="10"/>
      <color theme="1"/>
      <name val="맑은 고딕"/>
      <family val="3"/>
      <charset val="129"/>
      <scheme val="minor"/>
    </font>
    <font>
      <sz val="10"/>
      <color theme="1"/>
      <name val="맑은 고딕"/>
      <family val="3"/>
      <charset val="129"/>
      <scheme val="minor"/>
    </font>
    <font>
      <sz val="10"/>
      <color theme="1"/>
      <name val="맑은 고딕"/>
      <family val="3"/>
      <charset val="129"/>
      <scheme val="major"/>
    </font>
    <font>
      <b/>
      <sz val="10"/>
      <color theme="1"/>
      <name val="맑은 고딕"/>
      <family val="3"/>
      <charset val="129"/>
      <scheme val="major"/>
    </font>
    <font>
      <sz val="10"/>
      <color theme="1"/>
      <name val="맑은 고딕"/>
      <family val="2"/>
      <charset val="129"/>
      <scheme val="minor"/>
    </font>
    <font>
      <sz val="9"/>
      <color theme="1"/>
      <name val="맑은 고딕"/>
      <family val="3"/>
      <charset val="129"/>
      <scheme val="minor"/>
    </font>
    <font>
      <b/>
      <sz val="9"/>
      <color indexed="81"/>
      <name val="Tahoma"/>
      <family val="2"/>
    </font>
    <font>
      <b/>
      <sz val="9"/>
      <color indexed="81"/>
      <name val="돋움"/>
      <family val="3"/>
      <charset val="129"/>
    </font>
    <font>
      <b/>
      <sz val="10"/>
      <color theme="0"/>
      <name val="맑은 고딕"/>
      <family val="3"/>
      <charset val="129"/>
      <scheme val="major"/>
    </font>
    <font>
      <b/>
      <sz val="10"/>
      <name val="맑은 고딕"/>
      <family val="3"/>
      <charset val="129"/>
      <scheme val="minor"/>
    </font>
    <font>
      <sz val="11"/>
      <name val="맑은 고딕"/>
      <family val="3"/>
      <charset val="129"/>
      <scheme val="minor"/>
    </font>
    <font>
      <sz val="9"/>
      <color indexed="81"/>
      <name val="Tahoma"/>
      <family val="2"/>
    </font>
    <font>
      <sz val="9"/>
      <color indexed="81"/>
      <name val="돋움"/>
      <family val="3"/>
      <charset val="129"/>
    </font>
    <font>
      <b/>
      <sz val="10"/>
      <color rgb="FFFF0000"/>
      <name val="맑은 고딕"/>
      <family val="3"/>
      <charset val="129"/>
      <scheme val="minor"/>
    </font>
    <font>
      <sz val="10"/>
      <color rgb="FF000000"/>
      <name val="맑은 고딕"/>
      <family val="3"/>
      <charset val="129"/>
      <scheme val="minor"/>
    </font>
    <font>
      <sz val="11"/>
      <name val="돋움"/>
      <family val="3"/>
      <charset val="129"/>
    </font>
    <font>
      <sz val="11"/>
      <color theme="1"/>
      <name val="맑은 고딕"/>
      <family val="3"/>
      <charset val="129"/>
    </font>
    <font>
      <sz val="11"/>
      <color rgb="FF000000"/>
      <name val="맑은 고딕"/>
      <family val="3"/>
      <charset val="129"/>
      <scheme val="minor"/>
    </font>
    <font>
      <sz val="11"/>
      <color theme="1"/>
      <name val="맑은 고딕"/>
      <family val="3"/>
      <charset val="129"/>
      <scheme val="minor"/>
    </font>
    <font>
      <sz val="11"/>
      <color theme="1"/>
      <name val="맑은 고딕"/>
      <family val="2"/>
      <charset val="129"/>
    </font>
    <font>
      <sz val="10"/>
      <color rgb="FF000000"/>
      <name val="맑은 고딕"/>
      <family val="3"/>
      <charset val="129"/>
    </font>
    <font>
      <sz val="11"/>
      <color rgb="FF9C6500"/>
      <name val="맑은 고딕"/>
      <family val="2"/>
      <charset val="129"/>
      <scheme val="minor"/>
    </font>
    <font>
      <strike/>
      <sz val="10"/>
      <color theme="1"/>
      <name val="맑은 고딕"/>
      <family val="3"/>
      <charset val="129"/>
      <scheme val="minor"/>
    </font>
    <font>
      <sz val="10"/>
      <color rgb="FFFF0000"/>
      <name val="맑은 고딕"/>
      <family val="3"/>
      <charset val="129"/>
      <scheme val="minor"/>
    </font>
    <font>
      <sz val="10"/>
      <name val="맑은 고딕"/>
      <family val="3"/>
      <charset val="129"/>
      <scheme val="minor"/>
    </font>
    <font>
      <sz val="9"/>
      <name val="맑은 고딕"/>
      <family val="3"/>
      <charset val="129"/>
      <scheme val="minor"/>
    </font>
  </fonts>
  <fills count="23">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2" tint="-0.249977111117893"/>
        <bgColor indexed="64"/>
      </patternFill>
    </fill>
    <fill>
      <patternFill patternType="solid">
        <fgColor theme="2" tint="-9.9978637043366805E-2"/>
        <bgColor indexed="64"/>
      </patternFill>
    </fill>
    <fill>
      <patternFill patternType="solid">
        <fgColor theme="6" tint="0.59999389629810485"/>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1"/>
        <bgColor indexed="64"/>
      </patternFill>
    </fill>
    <fill>
      <patternFill patternType="solid">
        <fgColor theme="8" tint="0.79998168889431442"/>
        <bgColor indexed="64"/>
      </patternFill>
    </fill>
    <fill>
      <patternFill patternType="solid">
        <fgColor rgb="FFFF0000"/>
        <bgColor indexed="64"/>
      </patternFill>
    </fill>
    <fill>
      <patternFill patternType="solid">
        <fgColor theme="4" tint="0.79998168889431442"/>
        <bgColor indexed="64"/>
      </patternFill>
    </fill>
    <fill>
      <patternFill patternType="solid">
        <fgColor theme="8" tint="0.59999389629810485"/>
        <bgColor indexed="64"/>
      </patternFill>
    </fill>
    <fill>
      <patternFill patternType="solid">
        <fgColor rgb="FFFFFFFF"/>
        <bgColor indexed="64"/>
      </patternFill>
    </fill>
    <fill>
      <patternFill patternType="solid">
        <fgColor theme="0" tint="-4.9989318521683403E-2"/>
        <bgColor indexed="64"/>
      </patternFill>
    </fill>
    <fill>
      <patternFill patternType="solid">
        <fgColor rgb="FFFFEB9C"/>
      </patternFill>
    </fill>
    <fill>
      <patternFill patternType="solid">
        <fgColor theme="5" tint="0.39994506668294322"/>
        <bgColor indexed="64"/>
      </patternFill>
    </fill>
    <fill>
      <patternFill patternType="solid">
        <fgColor theme="5" tint="0.59996337778862885"/>
        <bgColor indexed="64"/>
      </patternFill>
    </fill>
    <fill>
      <patternFill patternType="solid">
        <fgColor theme="9" tint="0.59996337778862885"/>
        <bgColor indexed="64"/>
      </patternFill>
    </fill>
    <fill>
      <patternFill patternType="solid">
        <fgColor theme="9" tint="0.79998168889431442"/>
        <bgColor indexed="64"/>
      </patternFill>
    </fill>
    <fill>
      <patternFill patternType="solid">
        <fgColor theme="2"/>
        <bgColor indexed="64"/>
      </patternFill>
    </fill>
  </fills>
  <borders count="17">
    <border>
      <left/>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theme="5"/>
      </left>
      <right style="thin">
        <color indexed="64"/>
      </right>
      <top style="medium">
        <color theme="5"/>
      </top>
      <bottom style="thin">
        <color indexed="64"/>
      </bottom>
      <diagonal/>
    </border>
    <border>
      <left style="thin">
        <color indexed="64"/>
      </left>
      <right style="thin">
        <color indexed="64"/>
      </right>
      <top style="medium">
        <color theme="5"/>
      </top>
      <bottom style="thin">
        <color indexed="64"/>
      </bottom>
      <diagonal/>
    </border>
    <border>
      <left style="thin">
        <color indexed="64"/>
      </left>
      <right style="medium">
        <color theme="5"/>
      </right>
      <top style="medium">
        <color theme="5"/>
      </top>
      <bottom style="thin">
        <color indexed="64"/>
      </bottom>
      <diagonal/>
    </border>
    <border>
      <left style="medium">
        <color theme="5"/>
      </left>
      <right style="thin">
        <color indexed="64"/>
      </right>
      <top style="thin">
        <color indexed="64"/>
      </top>
      <bottom style="thin">
        <color indexed="64"/>
      </bottom>
      <diagonal/>
    </border>
    <border>
      <left style="thin">
        <color indexed="64"/>
      </left>
      <right style="medium">
        <color theme="5"/>
      </right>
      <top style="thin">
        <color indexed="64"/>
      </top>
      <bottom style="thin">
        <color indexed="64"/>
      </bottom>
      <diagonal/>
    </border>
    <border>
      <left style="medium">
        <color theme="5"/>
      </left>
      <right style="thin">
        <color indexed="64"/>
      </right>
      <top style="thin">
        <color indexed="64"/>
      </top>
      <bottom style="medium">
        <color theme="5"/>
      </bottom>
      <diagonal/>
    </border>
    <border>
      <left style="thin">
        <color indexed="64"/>
      </left>
      <right style="thin">
        <color indexed="64"/>
      </right>
      <top style="thin">
        <color indexed="64"/>
      </top>
      <bottom style="medium">
        <color theme="5"/>
      </bottom>
      <diagonal/>
    </border>
    <border>
      <left style="thin">
        <color indexed="64"/>
      </left>
      <right style="medium">
        <color theme="5"/>
      </right>
      <top style="thin">
        <color indexed="64"/>
      </top>
      <bottom style="medium">
        <color theme="5"/>
      </bottom>
      <diagonal/>
    </border>
    <border>
      <left/>
      <right/>
      <top/>
      <bottom style="thin">
        <color indexed="64"/>
      </bottom>
      <diagonal/>
    </border>
  </borders>
  <cellStyleXfs count="6">
    <xf numFmtId="0" fontId="0" fillId="0" borderId="0">
      <alignment vertical="center"/>
    </xf>
    <xf numFmtId="41" fontId="1" fillId="0" borderId="0" applyFont="0" applyFill="0" applyBorder="0" applyAlignment="0" applyProtection="0">
      <alignment vertical="center"/>
    </xf>
    <xf numFmtId="0" fontId="7" fillId="0" borderId="0">
      <alignment vertical="center"/>
    </xf>
    <xf numFmtId="0" fontId="1" fillId="0" borderId="0">
      <alignment vertical="center"/>
    </xf>
    <xf numFmtId="0" fontId="18" fillId="0" borderId="0">
      <alignment vertical="center"/>
    </xf>
    <xf numFmtId="0" fontId="24" fillId="17" borderId="0" applyNumberFormat="0" applyBorder="0" applyAlignment="0" applyProtection="0">
      <alignment vertical="center"/>
    </xf>
  </cellStyleXfs>
  <cellXfs count="241">
    <xf numFmtId="0" fontId="0" fillId="0" borderId="0" xfId="0">
      <alignment vertical="center"/>
    </xf>
    <xf numFmtId="0" fontId="5" fillId="0" borderId="2" xfId="0" applyFont="1" applyBorder="1" applyAlignment="1">
      <alignment horizontal="left" vertical="center"/>
    </xf>
    <xf numFmtId="0" fontId="5" fillId="0" borderId="2" xfId="0" applyFont="1" applyBorder="1" applyAlignment="1">
      <alignment horizontal="center" vertical="center"/>
    </xf>
    <xf numFmtId="0" fontId="5" fillId="0" borderId="2" xfId="0" applyFont="1" applyFill="1" applyBorder="1" applyAlignment="1">
      <alignment horizontal="center" vertical="center"/>
    </xf>
    <xf numFmtId="0" fontId="5" fillId="0" borderId="2" xfId="0" applyFont="1" applyBorder="1">
      <alignment vertical="center"/>
    </xf>
    <xf numFmtId="0" fontId="5" fillId="0" borderId="2" xfId="0" applyFont="1" applyFill="1" applyBorder="1" applyAlignment="1">
      <alignment horizontal="left" vertical="center"/>
    </xf>
    <xf numFmtId="176" fontId="5" fillId="0" borderId="2" xfId="1" applyNumberFormat="1" applyFont="1" applyFill="1" applyBorder="1" applyAlignment="1">
      <alignment horizontal="right" vertical="center"/>
    </xf>
    <xf numFmtId="176" fontId="5" fillId="0" borderId="2" xfId="0" applyNumberFormat="1" applyFont="1" applyFill="1" applyBorder="1" applyAlignment="1">
      <alignment horizontal="right" vertical="center"/>
    </xf>
    <xf numFmtId="0" fontId="4" fillId="0" borderId="2" xfId="0" applyFont="1" applyFill="1" applyBorder="1" applyAlignment="1">
      <alignment horizontal="center" vertical="center"/>
    </xf>
    <xf numFmtId="0" fontId="8" fillId="0" borderId="2" xfId="0" applyFont="1" applyFill="1" applyBorder="1" applyAlignment="1">
      <alignment horizontal="left" vertical="center"/>
    </xf>
    <xf numFmtId="0" fontId="4" fillId="11" borderId="2" xfId="0" applyFont="1" applyFill="1" applyBorder="1" applyAlignment="1">
      <alignment horizontal="center" vertical="center"/>
    </xf>
    <xf numFmtId="0" fontId="0" fillId="0" borderId="0" xfId="0" applyAlignment="1">
      <alignment horizontal="center" vertical="center"/>
    </xf>
    <xf numFmtId="0" fontId="3" fillId="2" borderId="2" xfId="0" applyFont="1" applyFill="1" applyBorder="1" applyAlignment="1">
      <alignment horizontal="center" vertical="center"/>
    </xf>
    <xf numFmtId="0" fontId="3" fillId="2" borderId="2" xfId="0" applyFont="1" applyFill="1" applyBorder="1" applyAlignment="1">
      <alignment horizontal="center" vertical="center" wrapText="1"/>
    </xf>
    <xf numFmtId="0" fontId="12" fillId="2" borderId="2" xfId="0" applyFont="1" applyFill="1" applyBorder="1" applyAlignment="1">
      <alignment horizontal="center" vertical="center" wrapText="1"/>
    </xf>
    <xf numFmtId="0" fontId="4" fillId="0" borderId="2" xfId="0" applyFont="1" applyBorder="1" applyAlignment="1">
      <alignment horizontal="center" vertical="center"/>
    </xf>
    <xf numFmtId="0" fontId="4" fillId="0" borderId="2" xfId="0" applyFont="1" applyBorder="1" applyAlignment="1">
      <alignment vertical="center"/>
    </xf>
    <xf numFmtId="0" fontId="13" fillId="0" borderId="0" xfId="0" applyFont="1">
      <alignment vertical="center"/>
    </xf>
    <xf numFmtId="0" fontId="0" fillId="0" borderId="0" xfId="0" applyAlignment="1">
      <alignment vertical="center"/>
    </xf>
    <xf numFmtId="0" fontId="0" fillId="0" borderId="0" xfId="0" applyAlignment="1">
      <alignment horizontal="left" vertical="center"/>
    </xf>
    <xf numFmtId="176" fontId="5" fillId="0" borderId="2" xfId="1" applyNumberFormat="1" applyFont="1" applyFill="1" applyBorder="1" applyAlignment="1">
      <alignment vertical="center"/>
    </xf>
    <xf numFmtId="176" fontId="5" fillId="0" borderId="2" xfId="0" applyNumberFormat="1" applyFont="1" applyFill="1" applyBorder="1" applyAlignment="1">
      <alignment vertical="center"/>
    </xf>
    <xf numFmtId="0" fontId="6" fillId="5" borderId="2" xfId="0" applyFont="1" applyFill="1" applyBorder="1" applyAlignment="1">
      <alignment horizontal="center" vertical="center"/>
    </xf>
    <xf numFmtId="0" fontId="5" fillId="0" borderId="2" xfId="0" applyFont="1" applyBorder="1" applyAlignment="1">
      <alignment horizontal="left" vertical="center" wrapText="1"/>
    </xf>
    <xf numFmtId="0" fontId="7" fillId="10" borderId="2" xfId="0" applyFont="1" applyFill="1" applyBorder="1">
      <alignment vertical="center"/>
    </xf>
    <xf numFmtId="0" fontId="4" fillId="0" borderId="2" xfId="0" applyFont="1" applyBorder="1" applyAlignment="1">
      <alignment vertical="center" wrapText="1"/>
    </xf>
    <xf numFmtId="0" fontId="17" fillId="0" borderId="2" xfId="0" applyFont="1" applyBorder="1" applyAlignment="1">
      <alignment horizontal="left" vertical="center" wrapText="1" readingOrder="1"/>
    </xf>
    <xf numFmtId="0" fontId="4" fillId="0" borderId="2" xfId="0" applyFont="1" applyFill="1" applyBorder="1" applyAlignment="1">
      <alignment horizontal="left" vertical="center" wrapText="1"/>
    </xf>
    <xf numFmtId="0" fontId="4" fillId="0" borderId="2" xfId="0" applyFont="1" applyFill="1" applyBorder="1" applyAlignment="1">
      <alignment vertical="center" wrapText="1"/>
    </xf>
    <xf numFmtId="0" fontId="17" fillId="0" borderId="2" xfId="0" applyFont="1" applyFill="1" applyBorder="1" applyAlignment="1">
      <alignment horizontal="left" vertical="center" wrapText="1" readingOrder="1"/>
    </xf>
    <xf numFmtId="0" fontId="17" fillId="0" borderId="2" xfId="0" quotePrefix="1" applyFont="1" applyBorder="1" applyAlignment="1">
      <alignment horizontal="left" vertical="center" wrapText="1" readingOrder="1"/>
    </xf>
    <xf numFmtId="0" fontId="17" fillId="0" borderId="2" xfId="0" quotePrefix="1" applyFont="1" applyFill="1" applyBorder="1" applyAlignment="1">
      <alignment horizontal="left" vertical="center" wrapText="1" readingOrder="1"/>
    </xf>
    <xf numFmtId="0" fontId="4" fillId="0" borderId="2" xfId="0" applyFont="1" applyBorder="1" applyAlignment="1">
      <alignment horizontal="left" vertical="center" wrapText="1"/>
    </xf>
    <xf numFmtId="0" fontId="4" fillId="0" borderId="2" xfId="0" quotePrefix="1" applyFont="1" applyBorder="1" applyAlignment="1">
      <alignment horizontal="left" vertical="center" wrapText="1"/>
    </xf>
    <xf numFmtId="0" fontId="4" fillId="13" borderId="2" xfId="0" applyFont="1" applyFill="1" applyBorder="1" applyAlignment="1">
      <alignment horizontal="center" vertical="center"/>
    </xf>
    <xf numFmtId="0" fontId="4" fillId="3" borderId="2" xfId="0" quotePrefix="1" applyFont="1" applyFill="1" applyBorder="1" applyAlignment="1">
      <alignment horizontal="left" vertical="center" wrapText="1"/>
    </xf>
    <xf numFmtId="0" fontId="6" fillId="6" borderId="2" xfId="0" applyFont="1" applyFill="1" applyBorder="1" applyAlignment="1">
      <alignment horizontal="center" vertical="center" wrapText="1"/>
    </xf>
    <xf numFmtId="0" fontId="4" fillId="0" borderId="2" xfId="0" quotePrefix="1" applyFont="1" applyFill="1" applyBorder="1" applyAlignment="1">
      <alignment horizontal="center" vertical="center"/>
    </xf>
    <xf numFmtId="0" fontId="8" fillId="13" borderId="2" xfId="0" applyFont="1" applyFill="1" applyBorder="1" applyAlignment="1">
      <alignment horizontal="left" vertical="center"/>
    </xf>
    <xf numFmtId="0" fontId="4" fillId="0" borderId="2" xfId="0" applyFont="1" applyFill="1" applyBorder="1" applyAlignment="1">
      <alignment horizontal="left" vertical="center"/>
    </xf>
    <xf numFmtId="0" fontId="4" fillId="3" borderId="2" xfId="0" applyFont="1" applyFill="1" applyBorder="1" applyAlignment="1">
      <alignment horizontal="left" vertical="center"/>
    </xf>
    <xf numFmtId="0" fontId="6" fillId="6" borderId="2" xfId="0" applyFont="1" applyFill="1" applyBorder="1" applyAlignment="1">
      <alignment horizontal="center" vertical="center"/>
    </xf>
    <xf numFmtId="41" fontId="6" fillId="6" borderId="2" xfId="1" applyFont="1" applyFill="1" applyBorder="1" applyAlignment="1">
      <alignment horizontal="center" vertical="center"/>
    </xf>
    <xf numFmtId="0" fontId="4" fillId="10" borderId="2" xfId="0" quotePrefix="1" applyFont="1" applyFill="1" applyBorder="1" applyAlignment="1">
      <alignment horizontal="center" vertical="center"/>
    </xf>
    <xf numFmtId="0" fontId="4" fillId="10" borderId="2" xfId="0" applyFont="1" applyFill="1" applyBorder="1" applyAlignment="1">
      <alignment horizontal="center" vertical="center"/>
    </xf>
    <xf numFmtId="0" fontId="4" fillId="10" borderId="2" xfId="0" applyFont="1" applyFill="1" applyBorder="1" applyAlignment="1">
      <alignment vertical="center"/>
    </xf>
    <xf numFmtId="0" fontId="16" fillId="10" borderId="2" xfId="0" applyFont="1" applyFill="1" applyBorder="1" applyAlignment="1">
      <alignment horizontal="center" vertical="center"/>
    </xf>
    <xf numFmtId="0" fontId="19" fillId="0" borderId="0" xfId="0" applyFont="1">
      <alignment vertical="center"/>
    </xf>
    <xf numFmtId="0" fontId="3" fillId="2" borderId="2" xfId="0" applyFont="1" applyFill="1" applyBorder="1" applyAlignment="1">
      <alignment horizontal="center" vertical="center"/>
    </xf>
    <xf numFmtId="41" fontId="11" fillId="12" borderId="2" xfId="1" applyFont="1" applyFill="1" applyBorder="1" applyAlignment="1">
      <alignment horizontal="center" vertical="center" wrapText="1"/>
    </xf>
    <xf numFmtId="0" fontId="7" fillId="10" borderId="2"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2" xfId="0" applyFont="1" applyFill="1" applyBorder="1" applyAlignment="1">
      <alignment vertical="center"/>
    </xf>
    <xf numFmtId="0" fontId="20" fillId="0" borderId="0" xfId="0" applyFont="1" applyFill="1">
      <alignment vertical="center"/>
    </xf>
    <xf numFmtId="0" fontId="0" fillId="0" borderId="0" xfId="0" applyAlignment="1">
      <alignment vertical="center" wrapText="1"/>
    </xf>
    <xf numFmtId="0" fontId="3" fillId="2" borderId="2" xfId="0" applyFont="1" applyFill="1" applyBorder="1" applyAlignment="1">
      <alignment horizontal="center" vertical="center"/>
    </xf>
    <xf numFmtId="0" fontId="4" fillId="13" borderId="2" xfId="0" quotePrefix="1" applyFont="1" applyFill="1" applyBorder="1" applyAlignment="1">
      <alignment horizontal="center" vertical="center"/>
    </xf>
    <xf numFmtId="0" fontId="3" fillId="2" borderId="2" xfId="0" applyFont="1" applyFill="1" applyBorder="1" applyAlignment="1">
      <alignment horizontal="center" vertical="center" wrapText="1"/>
    </xf>
    <xf numFmtId="0" fontId="17" fillId="14" borderId="2" xfId="0" quotePrefix="1" applyFont="1" applyFill="1" applyBorder="1" applyAlignment="1">
      <alignment horizontal="left" vertical="center" wrapText="1" readingOrder="1"/>
    </xf>
    <xf numFmtId="0" fontId="7" fillId="0" borderId="2" xfId="0" applyFont="1" applyBorder="1" applyAlignment="1">
      <alignment vertical="center" wrapText="1"/>
    </xf>
    <xf numFmtId="0" fontId="5" fillId="13" borderId="2" xfId="0" applyFont="1" applyFill="1" applyBorder="1">
      <alignment vertical="center"/>
    </xf>
    <xf numFmtId="0" fontId="4" fillId="0" borderId="2" xfId="0" applyFont="1" applyBorder="1" applyAlignment="1">
      <alignment horizontal="center" vertical="top" wrapText="1"/>
    </xf>
    <xf numFmtId="0" fontId="21" fillId="0" borderId="0" xfId="0" applyFont="1">
      <alignment vertical="center"/>
    </xf>
    <xf numFmtId="0" fontId="3" fillId="2" borderId="2" xfId="0" applyFont="1" applyFill="1" applyBorder="1" applyAlignment="1">
      <alignment horizontal="center" vertical="center" wrapText="1"/>
    </xf>
    <xf numFmtId="0" fontId="3" fillId="2" borderId="2" xfId="0" applyFont="1" applyFill="1" applyBorder="1" applyAlignment="1">
      <alignment horizontal="center" vertical="center"/>
    </xf>
    <xf numFmtId="0" fontId="7" fillId="0" borderId="0" xfId="0" applyFont="1" applyAlignment="1">
      <alignment horizontal="center" vertical="center"/>
    </xf>
    <xf numFmtId="0" fontId="4" fillId="0" borderId="0" xfId="0" applyFont="1">
      <alignment vertical="center"/>
    </xf>
    <xf numFmtId="0" fontId="4" fillId="0" borderId="2" xfId="0" applyFont="1" applyFill="1" applyBorder="1">
      <alignment vertical="center"/>
    </xf>
    <xf numFmtId="0" fontId="4" fillId="10" borderId="2" xfId="0" applyFont="1" applyFill="1" applyBorder="1">
      <alignment vertical="center"/>
    </xf>
    <xf numFmtId="0" fontId="0" fillId="0" borderId="0" xfId="0" applyFont="1" applyAlignment="1">
      <alignment horizontal="center" vertical="center"/>
    </xf>
    <xf numFmtId="0" fontId="0" fillId="0" borderId="0" xfId="0" applyFont="1">
      <alignment vertical="center"/>
    </xf>
    <xf numFmtId="0" fontId="21" fillId="0" borderId="0" xfId="0" applyFont="1" applyAlignment="1">
      <alignment horizontal="center" vertical="center"/>
    </xf>
    <xf numFmtId="0" fontId="4" fillId="0" borderId="2" xfId="0" applyFont="1" applyBorder="1">
      <alignment vertical="center"/>
    </xf>
    <xf numFmtId="0" fontId="4" fillId="0" borderId="2" xfId="0" applyNumberFormat="1" applyFont="1" applyBorder="1" applyAlignment="1">
      <alignment horizontal="center" vertical="center"/>
    </xf>
    <xf numFmtId="0" fontId="4" fillId="0" borderId="2" xfId="0" applyNumberFormat="1" applyFont="1" applyFill="1" applyBorder="1" applyAlignment="1">
      <alignment horizontal="center" vertical="center"/>
    </xf>
    <xf numFmtId="0" fontId="4" fillId="0" borderId="2" xfId="0" applyFont="1" applyBorder="1" applyAlignment="1">
      <alignment horizontal="center" vertical="top" wrapText="1"/>
    </xf>
    <xf numFmtId="0" fontId="6" fillId="6" borderId="4" xfId="0" applyFont="1" applyFill="1" applyBorder="1" applyAlignment="1">
      <alignment horizontal="center" vertical="center"/>
    </xf>
    <xf numFmtId="0" fontId="6" fillId="6" borderId="4" xfId="0" applyFont="1" applyFill="1" applyBorder="1" applyAlignment="1">
      <alignment horizontal="center" vertical="center" wrapText="1"/>
    </xf>
    <xf numFmtId="0" fontId="3" fillId="2" borderId="2" xfId="0" applyFont="1" applyFill="1" applyBorder="1" applyAlignment="1">
      <alignment horizontal="center" vertical="center"/>
    </xf>
    <xf numFmtId="0" fontId="17" fillId="0" borderId="2" xfId="0" applyFont="1" applyBorder="1" applyAlignment="1">
      <alignment horizontal="center" vertical="center" wrapText="1" readingOrder="1"/>
    </xf>
    <xf numFmtId="0" fontId="23" fillId="0" borderId="2" xfId="0" applyFont="1" applyBorder="1" applyAlignment="1">
      <alignment horizontal="left" vertical="center" wrapText="1" readingOrder="1"/>
    </xf>
    <xf numFmtId="0" fontId="4" fillId="0" borderId="2" xfId="0" applyFont="1" applyBorder="1" applyAlignment="1">
      <alignment horizontal="center" vertical="center"/>
    </xf>
    <xf numFmtId="0" fontId="0" fillId="0" borderId="2" xfId="0" applyBorder="1">
      <alignment vertical="center"/>
    </xf>
    <xf numFmtId="0" fontId="23" fillId="0" borderId="2" xfId="0" applyFont="1" applyBorder="1" applyAlignment="1">
      <alignment horizontal="center" vertical="center" wrapText="1" readingOrder="1"/>
    </xf>
    <xf numFmtId="49" fontId="0" fillId="0" borderId="2" xfId="0" applyNumberFormat="1" applyBorder="1" applyAlignment="1">
      <alignment horizontal="center" vertical="center"/>
    </xf>
    <xf numFmtId="0" fontId="4" fillId="3" borderId="2"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3" borderId="2" xfId="0" applyFont="1" applyFill="1" applyBorder="1">
      <alignment vertical="center"/>
    </xf>
    <xf numFmtId="0" fontId="5" fillId="0" borderId="3" xfId="0" applyFont="1" applyBorder="1" applyAlignment="1">
      <alignment horizontal="left" vertical="center"/>
    </xf>
    <xf numFmtId="0" fontId="8" fillId="0" borderId="3" xfId="0" applyFont="1" applyFill="1" applyBorder="1" applyAlignment="1">
      <alignment horizontal="left" vertical="center"/>
    </xf>
    <xf numFmtId="0" fontId="4" fillId="10" borderId="0" xfId="0" applyFont="1" applyFill="1">
      <alignment vertical="center"/>
    </xf>
    <xf numFmtId="0" fontId="4" fillId="0" borderId="3" xfId="0" applyFont="1" applyFill="1" applyBorder="1" applyAlignment="1">
      <alignment horizontal="center" vertical="center"/>
    </xf>
    <xf numFmtId="0" fontId="4" fillId="0" borderId="3" xfId="0" applyFont="1" applyFill="1" applyBorder="1">
      <alignment vertical="center"/>
    </xf>
    <xf numFmtId="0" fontId="4" fillId="0" borderId="3" xfId="0" applyFont="1" applyFill="1" applyBorder="1" applyAlignment="1">
      <alignment horizontal="left" vertical="center"/>
    </xf>
    <xf numFmtId="0" fontId="4" fillId="0" borderId="3" xfId="0" applyFont="1" applyBorder="1" applyAlignment="1">
      <alignment horizontal="center" vertical="center"/>
    </xf>
    <xf numFmtId="0" fontId="4" fillId="0" borderId="3" xfId="0" applyFont="1" applyBorder="1">
      <alignment vertical="center"/>
    </xf>
    <xf numFmtId="0" fontId="4" fillId="0" borderId="3" xfId="0" applyNumberFormat="1" applyFont="1" applyBorder="1" applyAlignment="1">
      <alignment horizontal="center" vertical="center"/>
    </xf>
    <xf numFmtId="0" fontId="4" fillId="0" borderId="3" xfId="0" applyFont="1" applyBorder="1" applyAlignment="1">
      <alignment vertical="center"/>
    </xf>
    <xf numFmtId="0" fontId="4" fillId="10" borderId="4" xfId="0" applyFont="1" applyFill="1" applyBorder="1" applyAlignment="1">
      <alignment horizontal="center" vertical="center"/>
    </xf>
    <xf numFmtId="0" fontId="4" fillId="10" borderId="4" xfId="0" applyFont="1" applyFill="1" applyBorder="1">
      <alignment vertical="center"/>
    </xf>
    <xf numFmtId="0" fontId="8" fillId="10" borderId="4" xfId="0" applyFont="1" applyFill="1" applyBorder="1" applyAlignment="1">
      <alignment horizontal="left" vertical="center"/>
    </xf>
    <xf numFmtId="0" fontId="4" fillId="10" borderId="4" xfId="0" applyFont="1" applyFill="1" applyBorder="1" applyAlignment="1">
      <alignment horizontal="left" vertical="center"/>
    </xf>
    <xf numFmtId="0" fontId="4" fillId="10" borderId="4" xfId="0" applyNumberFormat="1" applyFont="1" applyFill="1" applyBorder="1" applyAlignment="1">
      <alignment horizontal="center" vertical="center"/>
    </xf>
    <xf numFmtId="0" fontId="4" fillId="10" borderId="4" xfId="0" applyFont="1" applyFill="1" applyBorder="1" applyAlignment="1">
      <alignment vertical="center"/>
    </xf>
    <xf numFmtId="0" fontId="4" fillId="0" borderId="8"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9" xfId="0" applyFont="1" applyFill="1" applyBorder="1">
      <alignment vertical="center"/>
    </xf>
    <xf numFmtId="0" fontId="8" fillId="0" borderId="9" xfId="0" applyFont="1" applyFill="1" applyBorder="1" applyAlignment="1">
      <alignment horizontal="left" vertical="center"/>
    </xf>
    <xf numFmtId="0" fontId="4" fillId="0" borderId="9" xfId="0" applyFont="1" applyFill="1" applyBorder="1" applyAlignment="1">
      <alignment horizontal="left" vertical="center"/>
    </xf>
    <xf numFmtId="0" fontId="4" fillId="0" borderId="9" xfId="0" applyFont="1" applyBorder="1" applyAlignment="1">
      <alignment horizontal="center" vertical="center"/>
    </xf>
    <xf numFmtId="0" fontId="4" fillId="0" borderId="9" xfId="0" applyFont="1" applyBorder="1">
      <alignment vertical="center"/>
    </xf>
    <xf numFmtId="0" fontId="4" fillId="0" borderId="9" xfId="0" applyNumberFormat="1" applyFont="1" applyBorder="1" applyAlignment="1">
      <alignment horizontal="center" vertical="center"/>
    </xf>
    <xf numFmtId="0" fontId="4" fillId="0" borderId="9" xfId="0" applyFont="1" applyBorder="1" applyAlignment="1">
      <alignment vertical="center"/>
    </xf>
    <xf numFmtId="0" fontId="4" fillId="0" borderId="10" xfId="0" applyFont="1" applyBorder="1">
      <alignment vertical="center"/>
    </xf>
    <xf numFmtId="0" fontId="4" fillId="0" borderId="11" xfId="0" applyFont="1" applyFill="1" applyBorder="1" applyAlignment="1">
      <alignment horizontal="center" vertical="center"/>
    </xf>
    <xf numFmtId="0" fontId="4" fillId="0" borderId="12" xfId="0" applyFont="1" applyBorder="1">
      <alignment vertical="center"/>
    </xf>
    <xf numFmtId="0" fontId="4" fillId="0" borderId="13" xfId="0" applyFont="1" applyFill="1" applyBorder="1" applyAlignment="1">
      <alignment horizontal="center" vertical="center"/>
    </xf>
    <xf numFmtId="0" fontId="4" fillId="0" borderId="14" xfId="0" applyFont="1" applyFill="1" applyBorder="1" applyAlignment="1">
      <alignment horizontal="center" vertical="center"/>
    </xf>
    <xf numFmtId="0" fontId="4" fillId="0" borderId="14" xfId="0" applyFont="1" applyFill="1" applyBorder="1">
      <alignment vertical="center"/>
    </xf>
    <xf numFmtId="0" fontId="8" fillId="0" borderId="14" xfId="0" applyFont="1" applyFill="1" applyBorder="1" applyAlignment="1">
      <alignment horizontal="left" vertical="center"/>
    </xf>
    <xf numFmtId="0" fontId="4" fillId="0" borderId="14" xfId="0" applyFont="1" applyFill="1" applyBorder="1" applyAlignment="1">
      <alignment horizontal="left" vertical="center"/>
    </xf>
    <xf numFmtId="0" fontId="4" fillId="0" borderId="14" xfId="0" applyFont="1" applyBorder="1" applyAlignment="1">
      <alignment horizontal="center" vertical="center"/>
    </xf>
    <xf numFmtId="0" fontId="4" fillId="0" borderId="14" xfId="0" applyFont="1" applyBorder="1">
      <alignment vertical="center"/>
    </xf>
    <xf numFmtId="0" fontId="4" fillId="0" borderId="14" xfId="0" applyNumberFormat="1" applyFont="1" applyBorder="1" applyAlignment="1">
      <alignment horizontal="center" vertical="center"/>
    </xf>
    <xf numFmtId="0" fontId="4" fillId="0" borderId="14" xfId="0" applyFont="1" applyBorder="1" applyAlignment="1">
      <alignment vertical="center"/>
    </xf>
    <xf numFmtId="0" fontId="4" fillId="0" borderId="15" xfId="0" applyFont="1" applyBorder="1">
      <alignment vertical="center"/>
    </xf>
    <xf numFmtId="0" fontId="4" fillId="0" borderId="9" xfId="0" applyNumberFormat="1" applyFont="1" applyFill="1" applyBorder="1" applyAlignment="1">
      <alignment horizontal="center" vertical="center"/>
    </xf>
    <xf numFmtId="0" fontId="4" fillId="0" borderId="9" xfId="0" applyFont="1" applyFill="1" applyBorder="1" applyAlignment="1">
      <alignment vertical="center"/>
    </xf>
    <xf numFmtId="0" fontId="4" fillId="0" borderId="10" xfId="0" applyFont="1" applyFill="1" applyBorder="1">
      <alignment vertical="center"/>
    </xf>
    <xf numFmtId="0" fontId="4" fillId="0" borderId="2" xfId="0" applyFont="1" applyFill="1" applyBorder="1" applyAlignment="1">
      <alignment vertical="center"/>
    </xf>
    <xf numFmtId="0" fontId="4" fillId="0" borderId="12" xfId="0" applyFont="1" applyFill="1" applyBorder="1">
      <alignment vertical="center"/>
    </xf>
    <xf numFmtId="0" fontId="4" fillId="0" borderId="14" xfId="0" applyNumberFormat="1" applyFont="1" applyFill="1" applyBorder="1" applyAlignment="1">
      <alignment horizontal="center" vertical="center"/>
    </xf>
    <xf numFmtId="0" fontId="4" fillId="0" borderId="14" xfId="0" applyFont="1" applyFill="1" applyBorder="1" applyAlignment="1">
      <alignment vertical="center"/>
    </xf>
    <xf numFmtId="0" fontId="4" fillId="0" borderId="15" xfId="0" applyFont="1" applyFill="1" applyBorder="1">
      <alignment vertical="center"/>
    </xf>
    <xf numFmtId="0" fontId="4" fillId="10" borderId="4" xfId="0" quotePrefix="1" applyFont="1" applyFill="1" applyBorder="1" applyAlignment="1">
      <alignment horizontal="center" vertical="center"/>
    </xf>
    <xf numFmtId="0" fontId="17" fillId="0" borderId="2" xfId="0" applyFont="1" applyFill="1" applyBorder="1" applyAlignment="1">
      <alignment horizontal="left" vertical="top" wrapText="1" readingOrder="1"/>
    </xf>
    <xf numFmtId="0" fontId="4" fillId="0" borderId="2" xfId="0" applyFont="1" applyFill="1" applyBorder="1" applyAlignment="1">
      <alignment horizontal="left" vertical="top" wrapText="1"/>
    </xf>
    <xf numFmtId="0" fontId="4" fillId="0" borderId="2" xfId="0" applyFont="1" applyBorder="1" applyAlignment="1">
      <alignment horizontal="center" vertical="center"/>
    </xf>
    <xf numFmtId="0" fontId="0" fillId="18" borderId="0" xfId="0" applyFill="1">
      <alignment vertical="center"/>
    </xf>
    <xf numFmtId="0" fontId="0" fillId="19" borderId="0" xfId="0" applyFill="1">
      <alignment vertical="center"/>
    </xf>
    <xf numFmtId="0" fontId="4" fillId="20" borderId="2" xfId="0" applyFont="1" applyFill="1" applyBorder="1" applyAlignment="1">
      <alignment horizontal="center" vertical="center"/>
    </xf>
    <xf numFmtId="0" fontId="4" fillId="20" borderId="2" xfId="0" quotePrefix="1" applyFont="1" applyFill="1" applyBorder="1" applyAlignment="1">
      <alignment horizontal="center" vertical="center"/>
    </xf>
    <xf numFmtId="0" fontId="5" fillId="21" borderId="2" xfId="0" applyFont="1" applyFill="1" applyBorder="1" applyAlignment="1">
      <alignment horizontal="center" vertical="center"/>
    </xf>
    <xf numFmtId="0" fontId="4" fillId="0" borderId="2" xfId="0" applyFont="1" applyBorder="1" applyAlignment="1">
      <alignment horizontal="center" vertical="center"/>
    </xf>
    <xf numFmtId="0" fontId="4" fillId="0" borderId="2" xfId="0" applyFont="1" applyBorder="1" applyAlignment="1">
      <alignment horizontal="center" vertical="center"/>
    </xf>
    <xf numFmtId="0" fontId="21" fillId="0" borderId="0" xfId="0" quotePrefix="1" applyFont="1">
      <alignment vertical="center"/>
    </xf>
    <xf numFmtId="0" fontId="4" fillId="0" borderId="4" xfId="0" applyFont="1" applyBorder="1">
      <alignment vertical="center"/>
    </xf>
    <xf numFmtId="0" fontId="7" fillId="10" borderId="4" xfId="0" applyFont="1" applyFill="1" applyBorder="1">
      <alignment vertical="center"/>
    </xf>
    <xf numFmtId="0" fontId="4" fillId="0" borderId="4" xfId="0" applyNumberFormat="1" applyFont="1" applyBorder="1" applyAlignment="1">
      <alignment horizontal="center" vertical="center"/>
    </xf>
    <xf numFmtId="0" fontId="4" fillId="0" borderId="4" xfId="0" applyFont="1" applyBorder="1" applyAlignment="1">
      <alignment horizontal="center" vertical="center"/>
    </xf>
    <xf numFmtId="0" fontId="4" fillId="0" borderId="4" xfId="0" applyNumberFormat="1" applyFont="1" applyFill="1" applyBorder="1" applyAlignment="1">
      <alignment horizontal="center" vertical="center"/>
    </xf>
    <xf numFmtId="0" fontId="3" fillId="2" borderId="2" xfId="0" applyFont="1" applyFill="1" applyBorder="1" applyAlignment="1">
      <alignment horizontal="center" vertical="center"/>
    </xf>
    <xf numFmtId="0" fontId="25" fillId="0" borderId="2" xfId="0" applyNumberFormat="1" applyFont="1" applyFill="1" applyBorder="1" applyAlignment="1">
      <alignment horizontal="center" vertical="center"/>
    </xf>
    <xf numFmtId="0" fontId="3" fillId="2" borderId="2" xfId="0" applyFont="1" applyFill="1" applyBorder="1" applyAlignment="1">
      <alignment horizontal="center" vertical="center"/>
    </xf>
    <xf numFmtId="0" fontId="3" fillId="2" borderId="2" xfId="0" applyFont="1" applyFill="1" applyBorder="1" applyAlignment="1">
      <alignment horizontal="center" vertical="center" wrapText="1"/>
    </xf>
    <xf numFmtId="0" fontId="4" fillId="0" borderId="4" xfId="0" applyFont="1" applyFill="1" applyBorder="1">
      <alignment vertical="center"/>
    </xf>
    <xf numFmtId="0" fontId="4" fillId="0" borderId="4" xfId="0" applyFont="1" applyFill="1" applyBorder="1" applyAlignment="1">
      <alignment horizontal="center" vertical="center"/>
    </xf>
    <xf numFmtId="0" fontId="27" fillId="0" borderId="2" xfId="0" applyFont="1" applyFill="1" applyBorder="1">
      <alignment vertical="center"/>
    </xf>
    <xf numFmtId="0" fontId="28" fillId="0" borderId="2" xfId="0" applyFont="1" applyFill="1" applyBorder="1" applyAlignment="1">
      <alignment horizontal="left" vertical="center"/>
    </xf>
    <xf numFmtId="0" fontId="27" fillId="0" borderId="2" xfId="0" applyFont="1" applyFill="1" applyBorder="1" applyAlignment="1">
      <alignment horizontal="left" vertical="center"/>
    </xf>
    <xf numFmtId="0" fontId="27" fillId="0" borderId="2" xfId="0" applyFont="1" applyFill="1" applyBorder="1" applyAlignment="1">
      <alignment horizontal="center" vertical="center"/>
    </xf>
    <xf numFmtId="0" fontId="27" fillId="0" borderId="2" xfId="0" applyNumberFormat="1" applyFont="1" applyFill="1" applyBorder="1" applyAlignment="1">
      <alignment horizontal="center" vertical="center"/>
    </xf>
    <xf numFmtId="0" fontId="28" fillId="0" borderId="4" xfId="0" applyFont="1" applyFill="1" applyBorder="1" applyAlignment="1">
      <alignment horizontal="left" vertical="center"/>
    </xf>
    <xf numFmtId="0" fontId="27" fillId="0" borderId="4" xfId="0" applyFont="1" applyFill="1" applyBorder="1" applyAlignment="1">
      <alignment horizontal="left" vertical="center"/>
    </xf>
    <xf numFmtId="0" fontId="27" fillId="0" borderId="4" xfId="0" applyFont="1" applyFill="1" applyBorder="1">
      <alignment vertical="center"/>
    </xf>
    <xf numFmtId="0" fontId="27" fillId="0" borderId="4" xfId="0" applyFont="1" applyFill="1" applyBorder="1" applyAlignment="1">
      <alignment horizontal="center" vertical="center"/>
    </xf>
    <xf numFmtId="0" fontId="27" fillId="0" borderId="4" xfId="0" applyNumberFormat="1" applyFont="1" applyFill="1" applyBorder="1" applyAlignment="1">
      <alignment horizontal="center" vertical="center"/>
    </xf>
    <xf numFmtId="0" fontId="28" fillId="0" borderId="3" xfId="0" applyFont="1" applyFill="1" applyBorder="1" applyAlignment="1">
      <alignment horizontal="left" vertical="center"/>
    </xf>
    <xf numFmtId="0" fontId="27" fillId="0" borderId="3" xfId="0" applyFont="1" applyFill="1" applyBorder="1">
      <alignment vertical="center"/>
    </xf>
    <xf numFmtId="0" fontId="4" fillId="0" borderId="0" xfId="0" applyFont="1" applyFill="1">
      <alignment vertical="center"/>
    </xf>
    <xf numFmtId="0" fontId="0" fillId="0" borderId="0" xfId="0" applyFill="1">
      <alignment vertical="center"/>
    </xf>
    <xf numFmtId="0" fontId="4" fillId="22" borderId="2" xfId="0" applyFont="1" applyFill="1" applyBorder="1" applyAlignment="1">
      <alignment horizontal="center" vertical="center"/>
    </xf>
    <xf numFmtId="0" fontId="16" fillId="22" borderId="2" xfId="0" applyFont="1" applyFill="1" applyBorder="1" applyAlignment="1">
      <alignment horizontal="center" vertical="center"/>
    </xf>
    <xf numFmtId="0" fontId="4" fillId="22" borderId="2" xfId="0" applyFont="1" applyFill="1" applyBorder="1" applyAlignment="1">
      <alignment vertical="center"/>
    </xf>
    <xf numFmtId="0" fontId="27" fillId="22" borderId="2" xfId="0" applyFont="1" applyFill="1" applyBorder="1" applyAlignment="1">
      <alignment horizontal="center" vertical="center"/>
    </xf>
    <xf numFmtId="0" fontId="26" fillId="22" borderId="2" xfId="0" applyFont="1" applyFill="1" applyBorder="1" applyAlignment="1">
      <alignment horizontal="center" vertical="center"/>
    </xf>
    <xf numFmtId="0" fontId="27" fillId="0" borderId="2" xfId="0" applyFont="1" applyFill="1" applyBorder="1" applyAlignment="1">
      <alignment vertical="center"/>
    </xf>
    <xf numFmtId="0" fontId="27" fillId="22" borderId="2" xfId="0" applyFont="1" applyFill="1" applyBorder="1" applyAlignment="1">
      <alignment vertical="center"/>
    </xf>
    <xf numFmtId="0" fontId="27" fillId="0" borderId="2" xfId="0" applyFont="1" applyFill="1" applyBorder="1" applyAlignment="1">
      <alignment vertical="center" wrapText="1"/>
    </xf>
    <xf numFmtId="0" fontId="4" fillId="0" borderId="2" xfId="0" applyFont="1" applyBorder="1" applyAlignment="1">
      <alignment horizontal="center" vertical="top" wrapText="1"/>
    </xf>
    <xf numFmtId="0" fontId="4" fillId="0" borderId="3" xfId="0" applyFont="1" applyBorder="1" applyAlignment="1">
      <alignment horizontal="center" vertical="top" wrapText="1"/>
    </xf>
    <xf numFmtId="0" fontId="4" fillId="0" borderId="1" xfId="0" applyFont="1" applyBorder="1" applyAlignment="1">
      <alignment horizontal="center" vertical="top" wrapText="1"/>
    </xf>
    <xf numFmtId="0" fontId="4" fillId="0" borderId="4" xfId="0" applyFont="1" applyBorder="1" applyAlignment="1">
      <alignment horizontal="center" vertical="top" wrapText="1"/>
    </xf>
    <xf numFmtId="0" fontId="4" fillId="0" borderId="2" xfId="0" applyFont="1" applyFill="1" applyBorder="1" applyAlignment="1">
      <alignment horizontal="center" vertical="top" wrapText="1"/>
    </xf>
    <xf numFmtId="0" fontId="6" fillId="6" borderId="3" xfId="0" applyFont="1" applyFill="1" applyBorder="1" applyAlignment="1">
      <alignment horizontal="center" vertical="center"/>
    </xf>
    <xf numFmtId="0" fontId="6" fillId="6" borderId="4" xfId="0" applyFont="1" applyFill="1" applyBorder="1" applyAlignment="1">
      <alignment horizontal="center" vertical="center"/>
    </xf>
    <xf numFmtId="0" fontId="6" fillId="6" borderId="3" xfId="0" applyFont="1" applyFill="1" applyBorder="1" applyAlignment="1">
      <alignment horizontal="center" vertical="center" wrapText="1"/>
    </xf>
    <xf numFmtId="0" fontId="6" fillId="6" borderId="4" xfId="0" applyFont="1" applyFill="1" applyBorder="1" applyAlignment="1">
      <alignment horizontal="center" vertical="center" wrapText="1"/>
    </xf>
    <xf numFmtId="0" fontId="6" fillId="6" borderId="5" xfId="0" applyFont="1" applyFill="1" applyBorder="1" applyAlignment="1">
      <alignment horizontal="center" vertical="center" wrapText="1"/>
    </xf>
    <xf numFmtId="0" fontId="6" fillId="6" borderId="6" xfId="0" applyFont="1" applyFill="1" applyBorder="1" applyAlignment="1">
      <alignment horizontal="center" vertical="center" wrapText="1"/>
    </xf>
    <xf numFmtId="0" fontId="6" fillId="6" borderId="7"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3" xfId="0" applyFont="1" applyFill="1" applyBorder="1" applyAlignment="1">
      <alignment horizontal="center" vertical="center"/>
    </xf>
    <xf numFmtId="0" fontId="8" fillId="0" borderId="1" xfId="0" applyFont="1" applyFill="1" applyBorder="1" applyAlignment="1">
      <alignment horizontal="center" vertical="center"/>
    </xf>
    <xf numFmtId="0" fontId="8" fillId="0" borderId="4" xfId="0" applyFont="1" applyFill="1" applyBorder="1" applyAlignment="1">
      <alignment horizontal="center" vertical="center"/>
    </xf>
    <xf numFmtId="0" fontId="8" fillId="0" borderId="1" xfId="0" applyFont="1" applyFill="1" applyBorder="1" applyAlignment="1">
      <alignment horizontal="center" vertical="center" wrapText="1"/>
    </xf>
    <xf numFmtId="0" fontId="6" fillId="6" borderId="2" xfId="0" applyFont="1" applyFill="1" applyBorder="1" applyAlignment="1">
      <alignment horizontal="center" vertical="center" wrapText="1"/>
    </xf>
    <xf numFmtId="0" fontId="5" fillId="0" borderId="2" xfId="0" applyFont="1" applyBorder="1" applyAlignment="1">
      <alignment horizontal="center" vertical="center"/>
    </xf>
    <xf numFmtId="41" fontId="6" fillId="7" borderId="5" xfId="1" applyFont="1" applyFill="1" applyBorder="1" applyAlignment="1">
      <alignment horizontal="center" vertical="center"/>
    </xf>
    <xf numFmtId="41" fontId="6" fillId="7" borderId="6" xfId="1" applyFont="1" applyFill="1" applyBorder="1" applyAlignment="1">
      <alignment horizontal="center" vertical="center"/>
    </xf>
    <xf numFmtId="41" fontId="6" fillId="8" borderId="5" xfId="1" applyFont="1" applyFill="1" applyBorder="1" applyAlignment="1">
      <alignment horizontal="center" vertical="center"/>
    </xf>
    <xf numFmtId="41" fontId="6" fillId="8" borderId="6" xfId="1" applyFont="1" applyFill="1" applyBorder="1" applyAlignment="1">
      <alignment horizontal="center" vertical="center"/>
    </xf>
    <xf numFmtId="41" fontId="6" fillId="9" borderId="5" xfId="1" applyFont="1" applyFill="1" applyBorder="1" applyAlignment="1">
      <alignment horizontal="center" vertical="center"/>
    </xf>
    <xf numFmtId="41" fontId="6" fillId="9" borderId="6" xfId="1" applyFont="1" applyFill="1" applyBorder="1" applyAlignment="1">
      <alignment horizontal="center" vertical="center"/>
    </xf>
    <xf numFmtId="41" fontId="6" fillId="4" borderId="5" xfId="1" applyFont="1" applyFill="1" applyBorder="1" applyAlignment="1">
      <alignment horizontal="center" vertical="center"/>
    </xf>
    <xf numFmtId="41" fontId="6" fillId="4" borderId="6" xfId="1" applyFont="1" applyFill="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2" borderId="3" xfId="0" applyFont="1" applyFill="1" applyBorder="1" applyAlignment="1">
      <alignment horizontal="center" vertical="center"/>
    </xf>
    <xf numFmtId="0" fontId="3" fillId="2" borderId="1"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23" fillId="15" borderId="3" xfId="0" applyFont="1" applyFill="1" applyBorder="1" applyAlignment="1">
      <alignment horizontal="center" vertical="center" wrapText="1" readingOrder="1"/>
    </xf>
    <xf numFmtId="0" fontId="23" fillId="15" borderId="1" xfId="0" applyFont="1" applyFill="1" applyBorder="1" applyAlignment="1">
      <alignment horizontal="center" vertical="center" wrapText="1" readingOrder="1"/>
    </xf>
    <xf numFmtId="0" fontId="23" fillId="15" borderId="4" xfId="0" applyFont="1" applyFill="1" applyBorder="1" applyAlignment="1">
      <alignment horizontal="center" vertical="center" wrapText="1" readingOrder="1"/>
    </xf>
    <xf numFmtId="0" fontId="0" fillId="0" borderId="3" xfId="0" applyBorder="1" applyAlignment="1">
      <alignment horizontal="center" vertical="center"/>
    </xf>
    <xf numFmtId="0" fontId="0" fillId="0" borderId="1" xfId="0" applyBorder="1" applyAlignment="1">
      <alignment horizontal="center" vertical="center"/>
    </xf>
    <xf numFmtId="0" fontId="0" fillId="0" borderId="4" xfId="0" applyBorder="1" applyAlignment="1">
      <alignment horizontal="center" vertical="center"/>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17" fillId="0" borderId="3" xfId="0" applyFont="1" applyBorder="1" applyAlignment="1">
      <alignment horizontal="center" vertical="center" wrapText="1" readingOrder="1"/>
    </xf>
    <xf numFmtId="0" fontId="17" fillId="0" borderId="4" xfId="0" applyFont="1" applyBorder="1" applyAlignment="1">
      <alignment horizontal="center" vertical="center" wrapText="1" readingOrder="1"/>
    </xf>
    <xf numFmtId="0" fontId="17" fillId="0" borderId="2" xfId="0" applyFont="1" applyBorder="1" applyAlignment="1">
      <alignment horizontal="center" vertical="center" wrapText="1" readingOrder="1"/>
    </xf>
    <xf numFmtId="0" fontId="0" fillId="0" borderId="2" xfId="0" applyBorder="1" applyAlignment="1">
      <alignment horizontal="center" vertical="center" wrapText="1"/>
    </xf>
    <xf numFmtId="0" fontId="0" fillId="0" borderId="2" xfId="0" applyBorder="1" applyAlignment="1">
      <alignment horizontal="center" vertical="center"/>
    </xf>
    <xf numFmtId="0" fontId="23" fillId="15" borderId="2" xfId="0" applyFont="1" applyFill="1" applyBorder="1" applyAlignment="1">
      <alignment horizontal="center" vertical="center" wrapText="1" readingOrder="1"/>
    </xf>
    <xf numFmtId="0" fontId="23" fillId="16" borderId="3" xfId="0" applyFont="1" applyFill="1" applyBorder="1" applyAlignment="1">
      <alignment horizontal="center" vertical="center" wrapText="1" readingOrder="1"/>
    </xf>
    <xf numFmtId="0" fontId="23" fillId="16" borderId="1" xfId="0" applyFont="1" applyFill="1" applyBorder="1" applyAlignment="1">
      <alignment horizontal="center" vertical="center" wrapText="1" readingOrder="1"/>
    </xf>
    <xf numFmtId="0" fontId="23" fillId="16" borderId="4" xfId="0" applyFont="1" applyFill="1" applyBorder="1" applyAlignment="1">
      <alignment horizontal="center" vertical="center" wrapText="1" readingOrder="1"/>
    </xf>
    <xf numFmtId="0" fontId="4" fillId="0" borderId="2" xfId="0" applyFont="1" applyBorder="1" applyAlignment="1">
      <alignment horizontal="center" vertical="center"/>
    </xf>
    <xf numFmtId="0" fontId="24" fillId="17" borderId="16" xfId="5" applyBorder="1" applyAlignment="1">
      <alignment horizontal="center" vertical="center"/>
    </xf>
  </cellXfs>
  <cellStyles count="6">
    <cellStyle name="보통" xfId="5" builtinId="28"/>
    <cellStyle name="쉼표 [0]" xfId="1" builtinId="6"/>
    <cellStyle name="표준" xfId="0" builtinId="0"/>
    <cellStyle name="표준 146" xfId="3"/>
    <cellStyle name="표준 2" xfId="4"/>
    <cellStyle name="표준 63" xfId="2"/>
  </cellStyles>
  <dxfs count="0"/>
  <tableStyles count="0" defaultTableStyle="TableStyleMedium2" defaultPivotStyle="PivotStyleLight16"/>
  <colors>
    <mruColors>
      <color rgb="FF000000"/>
      <color rgb="FF800000"/>
      <color rgb="FFCC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테마">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53"/>
  <sheetViews>
    <sheetView zoomScale="85" zoomScaleNormal="85" workbookViewId="0">
      <pane xSplit="1" ySplit="2" topLeftCell="B9" activePane="bottomRight" state="frozen"/>
      <selection pane="topRight" activeCell="B1" sqref="B1"/>
      <selection pane="bottomLeft" activeCell="A3" sqref="A3"/>
      <selection pane="bottomRight" activeCell="E42" sqref="E42"/>
    </sheetView>
  </sheetViews>
  <sheetFormatPr defaultRowHeight="16.5"/>
  <cols>
    <col min="1" max="1" width="5" bestFit="1" customWidth="1"/>
    <col min="2" max="2" width="8.75" bestFit="1" customWidth="1"/>
    <col min="3" max="3" width="10.5" customWidth="1"/>
    <col min="4" max="4" width="46.25" bestFit="1" customWidth="1"/>
    <col min="5" max="5" width="74.625" customWidth="1"/>
    <col min="6" max="6" width="15.375" customWidth="1"/>
    <col min="7" max="7" width="24.75" customWidth="1"/>
    <col min="8" max="8" width="50.5" customWidth="1"/>
    <col min="9" max="9" width="13.625" bestFit="1" customWidth="1"/>
    <col min="10" max="10" width="18.625" customWidth="1"/>
    <col min="11" max="11" width="76.75" customWidth="1"/>
  </cols>
  <sheetData>
    <row r="2" spans="1:11" ht="27" customHeight="1">
      <c r="A2" s="57" t="s">
        <v>48</v>
      </c>
      <c r="B2" s="57" t="s">
        <v>49</v>
      </c>
      <c r="C2" s="57" t="s">
        <v>49</v>
      </c>
      <c r="D2" s="57" t="s">
        <v>187</v>
      </c>
      <c r="E2" s="57" t="s">
        <v>50</v>
      </c>
      <c r="F2" s="57" t="s">
        <v>51</v>
      </c>
      <c r="G2" s="57" t="s">
        <v>52</v>
      </c>
      <c r="H2" s="57" t="s">
        <v>57</v>
      </c>
      <c r="I2" s="57" t="s">
        <v>167</v>
      </c>
      <c r="J2" s="57" t="s">
        <v>294</v>
      </c>
      <c r="K2" s="57" t="s">
        <v>53</v>
      </c>
    </row>
    <row r="3" spans="1:11" ht="27">
      <c r="A3" s="25">
        <v>1</v>
      </c>
      <c r="B3" s="180" t="s">
        <v>145</v>
      </c>
      <c r="C3" s="179" t="s">
        <v>143</v>
      </c>
      <c r="D3" s="35" t="s">
        <v>55</v>
      </c>
      <c r="E3" s="26" t="s">
        <v>56</v>
      </c>
      <c r="F3" s="26" t="s">
        <v>57</v>
      </c>
      <c r="G3" s="26" t="s">
        <v>58</v>
      </c>
      <c r="H3" s="26" t="s">
        <v>59</v>
      </c>
      <c r="I3" s="30" t="s">
        <v>170</v>
      </c>
      <c r="J3" s="26"/>
      <c r="K3" s="32" t="s">
        <v>165</v>
      </c>
    </row>
    <row r="4" spans="1:11" ht="27">
      <c r="A4" s="25">
        <v>2</v>
      </c>
      <c r="B4" s="181"/>
      <c r="C4" s="179"/>
      <c r="D4" s="30" t="s">
        <v>60</v>
      </c>
      <c r="E4" s="26" t="s">
        <v>61</v>
      </c>
      <c r="F4" s="26" t="s">
        <v>57</v>
      </c>
      <c r="G4" s="26" t="s">
        <v>58</v>
      </c>
      <c r="H4" s="26" t="s">
        <v>59</v>
      </c>
      <c r="I4" s="30" t="s">
        <v>170</v>
      </c>
      <c r="J4" s="26"/>
      <c r="K4" s="32" t="s">
        <v>165</v>
      </c>
    </row>
    <row r="5" spans="1:11" ht="27">
      <c r="A5" s="25">
        <v>3</v>
      </c>
      <c r="B5" s="181"/>
      <c r="C5" s="179"/>
      <c r="D5" s="30" t="s">
        <v>62</v>
      </c>
      <c r="E5" s="26" t="s">
        <v>63</v>
      </c>
      <c r="F5" s="26" t="s">
        <v>57</v>
      </c>
      <c r="G5" s="30" t="s">
        <v>254</v>
      </c>
      <c r="H5" s="26" t="s">
        <v>251</v>
      </c>
      <c r="I5" s="30" t="s">
        <v>170</v>
      </c>
      <c r="J5" s="26"/>
      <c r="K5" s="32" t="s">
        <v>166</v>
      </c>
    </row>
    <row r="6" spans="1:11" ht="27">
      <c r="A6" s="25">
        <v>4</v>
      </c>
      <c r="B6" s="181"/>
      <c r="C6" s="179"/>
      <c r="D6" s="31" t="s">
        <v>65</v>
      </c>
      <c r="E6" s="26" t="s">
        <v>66</v>
      </c>
      <c r="F6" s="26" t="s">
        <v>57</v>
      </c>
      <c r="G6" s="30" t="s">
        <v>254</v>
      </c>
      <c r="H6" s="26" t="s">
        <v>251</v>
      </c>
      <c r="I6" s="30" t="s">
        <v>170</v>
      </c>
      <c r="J6" s="26"/>
      <c r="K6" s="32" t="s">
        <v>166</v>
      </c>
    </row>
    <row r="7" spans="1:11" ht="27">
      <c r="A7" s="25">
        <v>5</v>
      </c>
      <c r="B7" s="181"/>
      <c r="C7" s="179"/>
      <c r="D7" s="31" t="s">
        <v>180</v>
      </c>
      <c r="E7" s="26" t="s">
        <v>67</v>
      </c>
      <c r="F7" s="26" t="s">
        <v>57</v>
      </c>
      <c r="G7" s="26" t="s">
        <v>58</v>
      </c>
      <c r="H7" s="26" t="s">
        <v>64</v>
      </c>
      <c r="I7" s="30" t="s">
        <v>170</v>
      </c>
      <c r="J7" s="26"/>
      <c r="K7" s="32" t="s">
        <v>189</v>
      </c>
    </row>
    <row r="8" spans="1:11" ht="27">
      <c r="A8" s="25">
        <v>6</v>
      </c>
      <c r="B8" s="181"/>
      <c r="C8" s="179"/>
      <c r="D8" s="31" t="s">
        <v>68</v>
      </c>
      <c r="E8" s="26" t="s">
        <v>69</v>
      </c>
      <c r="F8" s="26" t="s">
        <v>57</v>
      </c>
      <c r="G8" s="26" t="s">
        <v>58</v>
      </c>
      <c r="H8" s="26" t="s">
        <v>64</v>
      </c>
      <c r="I8" s="30" t="s">
        <v>170</v>
      </c>
      <c r="J8" s="26"/>
      <c r="K8" s="32" t="s">
        <v>188</v>
      </c>
    </row>
    <row r="9" spans="1:11" ht="40.5">
      <c r="A9" s="25">
        <v>7</v>
      </c>
      <c r="B9" s="181"/>
      <c r="C9" s="183" t="s">
        <v>144</v>
      </c>
      <c r="D9" s="31" t="s">
        <v>169</v>
      </c>
      <c r="E9" s="29" t="s">
        <v>70</v>
      </c>
      <c r="F9" s="29" t="s">
        <v>71</v>
      </c>
      <c r="G9" s="29" t="s">
        <v>58</v>
      </c>
      <c r="H9" s="31" t="s">
        <v>295</v>
      </c>
      <c r="I9" s="31" t="s">
        <v>170</v>
      </c>
      <c r="J9" s="31"/>
      <c r="K9" s="28"/>
    </row>
    <row r="10" spans="1:11" ht="40.5">
      <c r="A10" s="25">
        <v>8</v>
      </c>
      <c r="B10" s="181"/>
      <c r="C10" s="183"/>
      <c r="D10" s="31" t="s">
        <v>72</v>
      </c>
      <c r="E10" s="29" t="s">
        <v>73</v>
      </c>
      <c r="F10" s="29" t="s">
        <v>181</v>
      </c>
      <c r="G10" s="29" t="s">
        <v>54</v>
      </c>
      <c r="H10" s="31" t="s">
        <v>296</v>
      </c>
      <c r="I10" s="31" t="s">
        <v>170</v>
      </c>
      <c r="J10" s="31"/>
      <c r="K10" s="28"/>
    </row>
    <row r="11" spans="1:11" ht="27">
      <c r="A11" s="25">
        <v>9</v>
      </c>
      <c r="B11" s="181"/>
      <c r="C11" s="183"/>
      <c r="D11" s="31" t="s">
        <v>171</v>
      </c>
      <c r="E11" s="29" t="s">
        <v>74</v>
      </c>
      <c r="F11" s="29" t="s">
        <v>71</v>
      </c>
      <c r="G11" s="29" t="s">
        <v>58</v>
      </c>
      <c r="H11" s="31" t="s">
        <v>171</v>
      </c>
      <c r="I11" s="31" t="s">
        <v>168</v>
      </c>
      <c r="J11" s="31"/>
      <c r="K11" s="28"/>
    </row>
    <row r="12" spans="1:11" ht="40.5">
      <c r="A12" s="25">
        <v>10</v>
      </c>
      <c r="B12" s="181"/>
      <c r="C12" s="179" t="s">
        <v>75</v>
      </c>
      <c r="D12" s="31" t="s">
        <v>76</v>
      </c>
      <c r="E12" s="29" t="s">
        <v>77</v>
      </c>
      <c r="F12" s="31"/>
      <c r="G12" s="31" t="s">
        <v>58</v>
      </c>
      <c r="H12" s="31" t="s">
        <v>76</v>
      </c>
      <c r="I12" s="31" t="s">
        <v>168</v>
      </c>
      <c r="J12" s="31"/>
      <c r="K12" s="27" t="s">
        <v>155</v>
      </c>
    </row>
    <row r="13" spans="1:11" ht="27">
      <c r="A13" s="25">
        <v>11</v>
      </c>
      <c r="B13" s="181"/>
      <c r="C13" s="179"/>
      <c r="D13" s="31" t="s">
        <v>78</v>
      </c>
      <c r="E13" s="29" t="s">
        <v>79</v>
      </c>
      <c r="F13" s="31"/>
      <c r="G13" s="31" t="s">
        <v>58</v>
      </c>
      <c r="H13" s="31" t="s">
        <v>78</v>
      </c>
      <c r="I13" s="31" t="s">
        <v>168</v>
      </c>
      <c r="J13" s="29"/>
      <c r="K13" s="27"/>
    </row>
    <row r="14" spans="1:11" ht="27">
      <c r="A14" s="25">
        <v>12</v>
      </c>
      <c r="B14" s="181"/>
      <c r="C14" s="179"/>
      <c r="D14" s="31" t="s">
        <v>80</v>
      </c>
      <c r="E14" s="29" t="s">
        <v>152</v>
      </c>
      <c r="F14" s="31"/>
      <c r="G14" s="31" t="s">
        <v>58</v>
      </c>
      <c r="H14" s="31" t="s">
        <v>80</v>
      </c>
      <c r="I14" s="31" t="s">
        <v>168</v>
      </c>
      <c r="J14" s="29"/>
      <c r="K14" s="27"/>
    </row>
    <row r="15" spans="1:11" ht="27">
      <c r="A15" s="25">
        <v>13</v>
      </c>
      <c r="B15" s="181"/>
      <c r="C15" s="179"/>
      <c r="D15" s="31" t="s">
        <v>81</v>
      </c>
      <c r="E15" s="26" t="s">
        <v>82</v>
      </c>
      <c r="F15" s="30"/>
      <c r="G15" s="30" t="s">
        <v>58</v>
      </c>
      <c r="H15" s="30" t="s">
        <v>81</v>
      </c>
      <c r="I15" s="30" t="s">
        <v>168</v>
      </c>
      <c r="J15" s="30"/>
      <c r="K15" s="32" t="s">
        <v>83</v>
      </c>
    </row>
    <row r="16" spans="1:11" ht="27">
      <c r="A16" s="25">
        <v>14</v>
      </c>
      <c r="B16" s="181"/>
      <c r="C16" s="179"/>
      <c r="D16" s="31" t="s">
        <v>159</v>
      </c>
      <c r="E16" s="26" t="s">
        <v>85</v>
      </c>
      <c r="F16" s="30"/>
      <c r="G16" s="30" t="s">
        <v>58</v>
      </c>
      <c r="H16" s="30" t="s">
        <v>84</v>
      </c>
      <c r="I16" s="30" t="s">
        <v>168</v>
      </c>
      <c r="J16" s="30"/>
      <c r="K16" s="32" t="s">
        <v>83</v>
      </c>
    </row>
    <row r="17" spans="1:12" ht="27">
      <c r="A17" s="25"/>
      <c r="B17" s="181"/>
      <c r="C17" s="179"/>
      <c r="D17" s="31" t="s">
        <v>252</v>
      </c>
      <c r="E17" s="26" t="s">
        <v>253</v>
      </c>
      <c r="F17" s="30"/>
      <c r="G17" s="30" t="s">
        <v>254</v>
      </c>
      <c r="H17" s="30" t="s">
        <v>252</v>
      </c>
      <c r="I17" s="30" t="s">
        <v>168</v>
      </c>
      <c r="J17" s="30"/>
      <c r="K17" s="32"/>
    </row>
    <row r="18" spans="1:12" ht="27">
      <c r="A18" s="25"/>
      <c r="B18" s="181"/>
      <c r="C18" s="179"/>
      <c r="D18" s="31" t="s">
        <v>255</v>
      </c>
      <c r="E18" s="26" t="s">
        <v>256</v>
      </c>
      <c r="F18" s="30"/>
      <c r="G18" s="30" t="s">
        <v>254</v>
      </c>
      <c r="H18" s="30" t="s">
        <v>255</v>
      </c>
      <c r="I18" s="30" t="s">
        <v>168</v>
      </c>
      <c r="J18" s="30"/>
      <c r="K18" s="32"/>
    </row>
    <row r="19" spans="1:12" ht="21.6" customHeight="1">
      <c r="A19" s="25">
        <v>15</v>
      </c>
      <c r="B19" s="181"/>
      <c r="C19" s="179"/>
      <c r="D19" s="31" t="s">
        <v>182</v>
      </c>
      <c r="E19" s="29" t="s">
        <v>86</v>
      </c>
      <c r="F19" s="31"/>
      <c r="G19" s="31" t="s">
        <v>58</v>
      </c>
      <c r="H19" s="31" t="s">
        <v>182</v>
      </c>
      <c r="I19" s="31" t="s">
        <v>168</v>
      </c>
      <c r="J19" s="31"/>
      <c r="K19" s="27"/>
    </row>
    <row r="20" spans="1:12" ht="39.6" customHeight="1">
      <c r="A20" s="25">
        <v>16</v>
      </c>
      <c r="B20" s="181"/>
      <c r="C20" s="179"/>
      <c r="D20" s="31" t="s">
        <v>179</v>
      </c>
      <c r="E20" s="26" t="s">
        <v>87</v>
      </c>
      <c r="F20" s="30"/>
      <c r="G20" s="30" t="s">
        <v>58</v>
      </c>
      <c r="H20" s="30" t="s">
        <v>146</v>
      </c>
      <c r="I20" s="31" t="s">
        <v>170</v>
      </c>
      <c r="J20" s="30"/>
      <c r="K20" s="30"/>
    </row>
    <row r="21" spans="1:12" ht="27">
      <c r="A21" s="25">
        <v>17</v>
      </c>
      <c r="B21" s="181"/>
      <c r="C21" s="179"/>
      <c r="D21" s="31" t="s">
        <v>88</v>
      </c>
      <c r="E21" s="26" t="s">
        <v>89</v>
      </c>
      <c r="F21" s="30" t="b">
        <v>0</v>
      </c>
      <c r="G21" s="30" t="s">
        <v>58</v>
      </c>
      <c r="H21" s="30" t="s">
        <v>90</v>
      </c>
      <c r="I21" s="31" t="s">
        <v>168</v>
      </c>
      <c r="J21" s="30"/>
      <c r="K21" s="32" t="s">
        <v>156</v>
      </c>
    </row>
    <row r="22" spans="1:12" ht="54">
      <c r="A22" s="25">
        <v>18</v>
      </c>
      <c r="B22" s="181"/>
      <c r="C22" s="179" t="s">
        <v>91</v>
      </c>
      <c r="D22" s="31" t="s">
        <v>92</v>
      </c>
      <c r="E22" s="26" t="s">
        <v>93</v>
      </c>
      <c r="F22" s="30"/>
      <c r="G22" s="30" t="s">
        <v>297</v>
      </c>
      <c r="H22" s="58" t="s">
        <v>298</v>
      </c>
      <c r="I22" s="30" t="s">
        <v>168</v>
      </c>
      <c r="J22" s="30"/>
      <c r="K22" s="32" t="s">
        <v>94</v>
      </c>
    </row>
    <row r="23" spans="1:12" ht="27">
      <c r="A23" s="25">
        <v>19</v>
      </c>
      <c r="B23" s="181"/>
      <c r="C23" s="179"/>
      <c r="D23" s="31" t="s">
        <v>95</v>
      </c>
      <c r="E23" s="26" t="s">
        <v>96</v>
      </c>
      <c r="F23" s="30"/>
      <c r="G23" s="30" t="s">
        <v>58</v>
      </c>
      <c r="H23" s="58" t="s">
        <v>299</v>
      </c>
      <c r="I23" s="30" t="s">
        <v>168</v>
      </c>
      <c r="J23" s="30"/>
      <c r="K23" s="32"/>
    </row>
    <row r="24" spans="1:12" ht="27">
      <c r="A24" s="25">
        <v>20</v>
      </c>
      <c r="B24" s="181"/>
      <c r="C24" s="61" t="s">
        <v>153</v>
      </c>
      <c r="D24" s="31" t="s">
        <v>172</v>
      </c>
      <c r="E24" s="26" t="s">
        <v>173</v>
      </c>
      <c r="F24" s="30"/>
      <c r="G24" s="30" t="s">
        <v>154</v>
      </c>
      <c r="H24" s="30" t="s">
        <v>172</v>
      </c>
      <c r="I24" s="30" t="s">
        <v>168</v>
      </c>
      <c r="J24" s="30"/>
      <c r="K24" s="32"/>
    </row>
    <row r="25" spans="1:12" ht="27">
      <c r="A25" s="25">
        <v>22</v>
      </c>
      <c r="B25" s="181"/>
      <c r="C25" s="180" t="s">
        <v>227</v>
      </c>
      <c r="D25" s="31" t="s">
        <v>160</v>
      </c>
      <c r="E25" s="29" t="s">
        <v>97</v>
      </c>
      <c r="F25" s="29"/>
      <c r="G25" s="31" t="s">
        <v>58</v>
      </c>
      <c r="H25" s="31" t="s">
        <v>174</v>
      </c>
      <c r="I25" s="31" t="s">
        <v>168</v>
      </c>
      <c r="J25" s="31"/>
      <c r="K25" s="33"/>
    </row>
    <row r="26" spans="1:12" ht="40.5">
      <c r="A26" s="25">
        <v>23</v>
      </c>
      <c r="B26" s="181"/>
      <c r="C26" s="182"/>
      <c r="D26" s="31" t="s">
        <v>98</v>
      </c>
      <c r="E26" s="29" t="s">
        <v>99</v>
      </c>
      <c r="F26" s="29"/>
      <c r="G26" s="31" t="s">
        <v>58</v>
      </c>
      <c r="H26" s="31" t="s">
        <v>176</v>
      </c>
      <c r="I26" s="31" t="s">
        <v>168</v>
      </c>
      <c r="J26" s="31"/>
      <c r="K26" s="27" t="s">
        <v>158</v>
      </c>
      <c r="L26" t="s">
        <v>175</v>
      </c>
    </row>
    <row r="27" spans="1:12" ht="27">
      <c r="A27" s="25">
        <v>24</v>
      </c>
      <c r="B27" s="181"/>
      <c r="C27" s="179" t="s">
        <v>100</v>
      </c>
      <c r="D27" s="31" t="s">
        <v>101</v>
      </c>
      <c r="E27" s="29" t="s">
        <v>102</v>
      </c>
      <c r="F27" s="29"/>
      <c r="G27" s="31" t="s">
        <v>419</v>
      </c>
      <c r="H27" s="31" t="s">
        <v>161</v>
      </c>
      <c r="I27" s="31" t="s">
        <v>168</v>
      </c>
      <c r="J27" s="31"/>
      <c r="K27" s="32" t="s">
        <v>103</v>
      </c>
    </row>
    <row r="28" spans="1:12" ht="27">
      <c r="A28" s="25">
        <v>27</v>
      </c>
      <c r="B28" s="181"/>
      <c r="C28" s="179"/>
      <c r="D28" s="31" t="s">
        <v>104</v>
      </c>
      <c r="E28" s="29" t="s">
        <v>105</v>
      </c>
      <c r="F28" s="29"/>
      <c r="G28" s="31" t="s">
        <v>58</v>
      </c>
      <c r="H28" s="31" t="s">
        <v>106</v>
      </c>
      <c r="I28" s="31" t="s">
        <v>168</v>
      </c>
      <c r="J28" s="31"/>
      <c r="K28" s="32"/>
    </row>
    <row r="29" spans="1:12" ht="27">
      <c r="A29" s="25">
        <v>30</v>
      </c>
      <c r="B29" s="181"/>
      <c r="C29" s="179"/>
      <c r="D29" s="31" t="s">
        <v>177</v>
      </c>
      <c r="E29" s="29" t="s">
        <v>107</v>
      </c>
      <c r="F29" s="29"/>
      <c r="G29" s="31" t="s">
        <v>58</v>
      </c>
      <c r="H29" s="31" t="s">
        <v>108</v>
      </c>
      <c r="I29" s="31" t="s">
        <v>168</v>
      </c>
      <c r="J29" s="31"/>
      <c r="K29" s="32" t="s">
        <v>109</v>
      </c>
    </row>
    <row r="30" spans="1:12" ht="27">
      <c r="A30" s="25">
        <v>31</v>
      </c>
      <c r="B30" s="181"/>
      <c r="C30" s="179"/>
      <c r="D30" s="31" t="s">
        <v>178</v>
      </c>
      <c r="E30" s="29" t="s">
        <v>107</v>
      </c>
      <c r="F30" s="29"/>
      <c r="G30" s="31" t="s">
        <v>58</v>
      </c>
      <c r="H30" s="31" t="s">
        <v>110</v>
      </c>
      <c r="I30" s="31" t="s">
        <v>168</v>
      </c>
      <c r="J30" s="31"/>
      <c r="K30" s="32" t="s">
        <v>109</v>
      </c>
    </row>
    <row r="31" spans="1:12" ht="27">
      <c r="A31" s="25">
        <v>36</v>
      </c>
      <c r="B31" s="181"/>
      <c r="C31" s="179"/>
      <c r="D31" s="31" t="s">
        <v>111</v>
      </c>
      <c r="E31" s="29" t="s">
        <v>131</v>
      </c>
      <c r="F31" s="29"/>
      <c r="G31" s="31" t="s">
        <v>58</v>
      </c>
      <c r="H31" s="31" t="s">
        <v>112</v>
      </c>
      <c r="I31" s="31" t="s">
        <v>168</v>
      </c>
      <c r="J31" s="31"/>
      <c r="K31" s="32"/>
    </row>
    <row r="32" spans="1:12" ht="27">
      <c r="A32" s="25">
        <v>37</v>
      </c>
      <c r="B32" s="181"/>
      <c r="C32" s="179" t="s">
        <v>228</v>
      </c>
      <c r="D32" s="31" t="s">
        <v>229</v>
      </c>
      <c r="E32" s="59" t="s">
        <v>245</v>
      </c>
      <c r="F32" s="29" t="s">
        <v>244</v>
      </c>
      <c r="G32" s="31" t="s">
        <v>239</v>
      </c>
      <c r="H32" s="31" t="s">
        <v>233</v>
      </c>
      <c r="I32" s="31"/>
      <c r="J32" s="31"/>
      <c r="K32" s="32"/>
    </row>
    <row r="33" spans="1:12" ht="81">
      <c r="A33" s="25">
        <v>38</v>
      </c>
      <c r="B33" s="181"/>
      <c r="C33" s="179"/>
      <c r="D33" s="31" t="s">
        <v>242</v>
      </c>
      <c r="E33" s="59" t="s">
        <v>246</v>
      </c>
      <c r="F33" s="29"/>
      <c r="G33" s="31" t="s">
        <v>239</v>
      </c>
      <c r="H33" s="31" t="s">
        <v>230</v>
      </c>
      <c r="I33" s="31"/>
      <c r="J33" s="31"/>
      <c r="K33" s="32"/>
    </row>
    <row r="34" spans="1:12" ht="27">
      <c r="A34" s="25">
        <v>39</v>
      </c>
      <c r="B34" s="181"/>
      <c r="C34" s="179"/>
      <c r="D34" s="31" t="s">
        <v>241</v>
      </c>
      <c r="E34" s="59" t="s">
        <v>243</v>
      </c>
      <c r="F34" s="29"/>
      <c r="G34" s="31" t="s">
        <v>239</v>
      </c>
      <c r="H34" s="31" t="s">
        <v>231</v>
      </c>
      <c r="I34" s="31"/>
      <c r="J34" s="31"/>
      <c r="K34" s="32"/>
    </row>
    <row r="35" spans="1:12" ht="40.5">
      <c r="A35" s="25">
        <v>40</v>
      </c>
      <c r="B35" s="181"/>
      <c r="C35" s="179"/>
      <c r="D35" s="31" t="s">
        <v>240</v>
      </c>
      <c r="E35" s="59" t="s">
        <v>238</v>
      </c>
      <c r="F35" s="33" t="s">
        <v>126</v>
      </c>
      <c r="G35" s="31" t="s">
        <v>239</v>
      </c>
      <c r="H35" s="31" t="s">
        <v>232</v>
      </c>
      <c r="I35" s="31"/>
      <c r="J35" s="31"/>
      <c r="K35" s="32"/>
    </row>
    <row r="36" spans="1:12" ht="54">
      <c r="A36" s="25">
        <v>41</v>
      </c>
      <c r="B36" s="181"/>
      <c r="C36" s="179"/>
      <c r="D36" s="31" t="s">
        <v>235</v>
      </c>
      <c r="E36" s="59" t="s">
        <v>237</v>
      </c>
      <c r="F36" s="29"/>
      <c r="G36" s="31" t="s">
        <v>239</v>
      </c>
      <c r="H36" s="31" t="s">
        <v>235</v>
      </c>
      <c r="I36" s="31"/>
      <c r="J36" s="31"/>
      <c r="K36" s="32"/>
    </row>
    <row r="37" spans="1:12" ht="54">
      <c r="A37" s="25">
        <v>42</v>
      </c>
      <c r="B37" s="181"/>
      <c r="C37" s="179"/>
      <c r="D37" s="31" t="s">
        <v>234</v>
      </c>
      <c r="E37" s="59" t="s">
        <v>236</v>
      </c>
      <c r="F37" s="29"/>
      <c r="G37" s="31" t="s">
        <v>239</v>
      </c>
      <c r="H37" s="31" t="s">
        <v>234</v>
      </c>
      <c r="I37" s="31"/>
      <c r="J37" s="31"/>
      <c r="K37" s="32"/>
    </row>
    <row r="38" spans="1:12" ht="40.5">
      <c r="A38" s="25"/>
      <c r="B38" s="182"/>
      <c r="C38" s="75" t="s">
        <v>300</v>
      </c>
      <c r="D38" s="31" t="s">
        <v>302</v>
      </c>
      <c r="E38" s="59" t="s">
        <v>303</v>
      </c>
      <c r="F38" s="29"/>
      <c r="G38" s="31" t="s">
        <v>304</v>
      </c>
      <c r="H38" s="31" t="s">
        <v>301</v>
      </c>
      <c r="I38" s="31"/>
      <c r="J38" s="31"/>
      <c r="K38" s="32"/>
    </row>
    <row r="39" spans="1:12" ht="35.25" customHeight="1">
      <c r="A39" s="25">
        <v>43</v>
      </c>
      <c r="B39" s="179" t="s">
        <v>584</v>
      </c>
      <c r="C39" s="180" t="s">
        <v>574</v>
      </c>
      <c r="D39" s="29" t="s">
        <v>575</v>
      </c>
      <c r="E39" s="32" t="s">
        <v>593</v>
      </c>
      <c r="F39" s="32"/>
      <c r="G39" s="32" t="s">
        <v>58</v>
      </c>
      <c r="H39" s="29" t="s">
        <v>582</v>
      </c>
      <c r="I39" s="29"/>
      <c r="J39" s="29"/>
      <c r="K39" s="27" t="s">
        <v>113</v>
      </c>
    </row>
    <row r="40" spans="1:12" ht="31.5" customHeight="1">
      <c r="A40" s="25">
        <v>44</v>
      </c>
      <c r="B40" s="179"/>
      <c r="C40" s="181"/>
      <c r="D40" s="29" t="s">
        <v>594</v>
      </c>
      <c r="E40" s="27" t="s">
        <v>595</v>
      </c>
      <c r="F40" s="27">
        <v>250</v>
      </c>
      <c r="G40" s="27"/>
      <c r="H40" s="135" t="s">
        <v>596</v>
      </c>
      <c r="I40" s="29"/>
      <c r="J40" s="29"/>
      <c r="K40" s="27"/>
    </row>
    <row r="41" spans="1:12" ht="57" customHeight="1">
      <c r="A41" s="25">
        <v>45</v>
      </c>
      <c r="B41" s="179"/>
      <c r="C41" s="181"/>
      <c r="D41" s="29" t="s">
        <v>591</v>
      </c>
      <c r="E41" s="27" t="s">
        <v>592</v>
      </c>
      <c r="F41" s="27">
        <v>1</v>
      </c>
      <c r="G41" s="27"/>
      <c r="H41" s="136" t="s">
        <v>583</v>
      </c>
      <c r="I41" s="27"/>
      <c r="J41" s="27"/>
      <c r="K41" s="27"/>
    </row>
    <row r="42" spans="1:12" ht="96.75" customHeight="1">
      <c r="A42" s="25">
        <v>46</v>
      </c>
      <c r="B42" s="179"/>
      <c r="C42" s="181"/>
      <c r="D42" s="29" t="s">
        <v>600</v>
      </c>
      <c r="E42" s="27" t="s">
        <v>597</v>
      </c>
      <c r="F42" s="27">
        <v>50</v>
      </c>
      <c r="G42" s="27"/>
      <c r="H42" s="27">
        <v>256</v>
      </c>
      <c r="I42" s="27"/>
      <c r="J42" s="27"/>
      <c r="K42" s="27"/>
    </row>
    <row r="43" spans="1:12" ht="41.25" customHeight="1">
      <c r="A43" s="25"/>
      <c r="B43" s="179"/>
      <c r="C43" s="181"/>
      <c r="D43" s="29" t="s">
        <v>604</v>
      </c>
      <c r="E43" s="27" t="s">
        <v>598</v>
      </c>
      <c r="F43" s="27">
        <v>60</v>
      </c>
      <c r="G43" s="27"/>
      <c r="H43" s="27" t="s">
        <v>581</v>
      </c>
      <c r="I43" s="27"/>
      <c r="J43" s="27"/>
      <c r="K43" s="27"/>
    </row>
    <row r="44" spans="1:12" ht="48" customHeight="1">
      <c r="A44" s="25">
        <v>47</v>
      </c>
      <c r="B44" s="179"/>
      <c r="C44" s="181"/>
      <c r="D44" s="29" t="s">
        <v>605</v>
      </c>
      <c r="E44" s="27" t="s">
        <v>598</v>
      </c>
      <c r="F44" s="27">
        <v>60</v>
      </c>
      <c r="G44" s="27"/>
      <c r="H44" s="27" t="s">
        <v>580</v>
      </c>
      <c r="I44" s="27"/>
      <c r="J44" s="27"/>
      <c r="K44" s="27"/>
    </row>
    <row r="45" spans="1:12" ht="40.5">
      <c r="A45" s="25">
        <v>53</v>
      </c>
      <c r="B45" s="179"/>
      <c r="C45" s="180" t="s">
        <v>576</v>
      </c>
      <c r="D45" s="29" t="s">
        <v>114</v>
      </c>
      <c r="E45" s="32" t="s">
        <v>115</v>
      </c>
      <c r="F45" s="32"/>
      <c r="G45" s="32"/>
      <c r="H45" s="32" t="s">
        <v>116</v>
      </c>
      <c r="I45" s="32"/>
      <c r="J45" s="32"/>
      <c r="K45" s="27"/>
    </row>
    <row r="46" spans="1:12" ht="27">
      <c r="A46" s="25">
        <v>55</v>
      </c>
      <c r="B46" s="179"/>
      <c r="C46" s="181"/>
      <c r="D46" s="29" t="s">
        <v>577</v>
      </c>
      <c r="E46" s="32" t="s">
        <v>118</v>
      </c>
      <c r="F46" s="32"/>
      <c r="G46" s="32"/>
      <c r="H46" s="32" t="s">
        <v>119</v>
      </c>
      <c r="I46" s="32"/>
      <c r="J46" s="32"/>
      <c r="K46" s="32" t="s">
        <v>226</v>
      </c>
      <c r="L46" t="s">
        <v>157</v>
      </c>
    </row>
    <row r="47" spans="1:12" ht="27">
      <c r="A47" s="25">
        <v>56</v>
      </c>
      <c r="B47" s="179"/>
      <c r="C47" s="182"/>
      <c r="D47" s="29" t="s">
        <v>578</v>
      </c>
      <c r="E47" s="32" t="s">
        <v>120</v>
      </c>
      <c r="F47" s="32"/>
      <c r="G47" s="32"/>
      <c r="H47" s="32" t="s">
        <v>121</v>
      </c>
      <c r="I47" s="32"/>
      <c r="J47" s="32"/>
      <c r="K47" s="32" t="s">
        <v>226</v>
      </c>
    </row>
    <row r="48" spans="1:12" ht="30.75" customHeight="1">
      <c r="A48" s="25">
        <v>57</v>
      </c>
      <c r="B48" s="179"/>
      <c r="C48" s="179" t="s">
        <v>117</v>
      </c>
      <c r="D48" s="29" t="s">
        <v>122</v>
      </c>
      <c r="E48" s="32" t="s">
        <v>123</v>
      </c>
      <c r="F48" s="32">
        <v>1</v>
      </c>
      <c r="G48" s="32"/>
      <c r="H48" s="32" t="s">
        <v>124</v>
      </c>
      <c r="I48" s="32"/>
      <c r="J48" s="32"/>
      <c r="K48" s="32"/>
    </row>
    <row r="49" spans="1:11" ht="40.5">
      <c r="A49" s="25">
        <v>59</v>
      </c>
      <c r="B49" s="179"/>
      <c r="C49" s="179"/>
      <c r="D49" s="29" t="s">
        <v>602</v>
      </c>
      <c r="E49" s="32" t="s">
        <v>599</v>
      </c>
      <c r="F49" s="32">
        <v>10</v>
      </c>
      <c r="G49" s="32"/>
      <c r="H49" s="32">
        <v>10</v>
      </c>
      <c r="I49" s="32"/>
      <c r="J49" s="32"/>
      <c r="K49" s="32" t="s">
        <v>125</v>
      </c>
    </row>
    <row r="50" spans="1:11" ht="34.5" customHeight="1">
      <c r="A50" s="25">
        <v>60</v>
      </c>
      <c r="B50" s="179"/>
      <c r="C50" s="179"/>
      <c r="D50" s="29" t="s">
        <v>601</v>
      </c>
      <c r="E50" s="32" t="s">
        <v>608</v>
      </c>
      <c r="F50" s="33" t="s">
        <v>126</v>
      </c>
      <c r="G50" s="32"/>
      <c r="H50" s="32" t="s">
        <v>124</v>
      </c>
      <c r="I50" s="32"/>
      <c r="J50" s="32"/>
      <c r="K50" s="32"/>
    </row>
    <row r="51" spans="1:11" ht="30.75" customHeight="1">
      <c r="A51" s="25">
        <v>61</v>
      </c>
      <c r="B51" s="179"/>
      <c r="C51" s="179"/>
      <c r="D51" s="29" t="s">
        <v>606</v>
      </c>
      <c r="E51" s="32" t="s">
        <v>127</v>
      </c>
      <c r="F51" s="32" t="s">
        <v>128</v>
      </c>
      <c r="G51" s="32"/>
      <c r="H51" s="32" t="s">
        <v>579</v>
      </c>
      <c r="I51" s="32"/>
      <c r="J51" s="32"/>
      <c r="K51" s="32"/>
    </row>
    <row r="52" spans="1:11" ht="28.5" customHeight="1">
      <c r="A52" s="25">
        <v>62</v>
      </c>
      <c r="B52" s="179"/>
      <c r="C52" s="179"/>
      <c r="D52" s="29" t="s">
        <v>607</v>
      </c>
      <c r="E52" s="32" t="s">
        <v>129</v>
      </c>
      <c r="F52" s="32">
        <v>-1</v>
      </c>
      <c r="G52" s="32"/>
      <c r="H52" s="32" t="s">
        <v>585</v>
      </c>
      <c r="I52" s="32"/>
      <c r="J52" s="32"/>
      <c r="K52" s="32" t="s">
        <v>125</v>
      </c>
    </row>
    <row r="53" spans="1:11" ht="27">
      <c r="A53" s="25">
        <v>68</v>
      </c>
      <c r="B53" s="179"/>
      <c r="C53" s="179"/>
      <c r="D53" s="29" t="s">
        <v>603</v>
      </c>
      <c r="E53" s="32" t="s">
        <v>130</v>
      </c>
      <c r="F53" s="32" t="s">
        <v>71</v>
      </c>
      <c r="G53" s="32"/>
      <c r="H53" s="32" t="s">
        <v>586</v>
      </c>
      <c r="I53" s="32"/>
      <c r="J53" s="32"/>
      <c r="K53" s="32"/>
    </row>
  </sheetData>
  <mergeCells count="12">
    <mergeCell ref="C27:C31"/>
    <mergeCell ref="C48:C53"/>
    <mergeCell ref="C32:C37"/>
    <mergeCell ref="B3:B38"/>
    <mergeCell ref="B39:B53"/>
    <mergeCell ref="C39:C44"/>
    <mergeCell ref="C45:C47"/>
    <mergeCell ref="C3:C8"/>
    <mergeCell ref="C9:C11"/>
    <mergeCell ref="C12:C21"/>
    <mergeCell ref="C22:C23"/>
    <mergeCell ref="C25:C26"/>
  </mergeCells>
  <phoneticPr fontId="2" type="noConversion"/>
  <pageMargins left="0.7" right="0.7" top="0.75" bottom="0.75" header="0.3" footer="0.3"/>
  <pageSetup paperSize="9"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12"/>
  <sheetViews>
    <sheetView workbookViewId="0">
      <selection activeCell="B23" sqref="B23"/>
    </sheetView>
  </sheetViews>
  <sheetFormatPr defaultRowHeight="16.5"/>
  <cols>
    <col min="1" max="1" width="44.625" customWidth="1"/>
    <col min="2" max="2" width="36.375" customWidth="1"/>
    <col min="3" max="3" width="14.125" bestFit="1" customWidth="1"/>
    <col min="4" max="4" width="6" bestFit="1" customWidth="1"/>
    <col min="6" max="6" width="11" customWidth="1"/>
    <col min="7" max="7" width="13.125" customWidth="1"/>
  </cols>
  <sheetData>
    <row r="2" spans="1:8">
      <c r="A2" s="240" t="s">
        <v>678</v>
      </c>
      <c r="B2" s="240"/>
    </row>
    <row r="4" spans="1:8">
      <c r="A4" t="s">
        <v>638</v>
      </c>
      <c r="F4" t="s">
        <v>631</v>
      </c>
      <c r="G4" t="s">
        <v>20</v>
      </c>
      <c r="H4" t="s">
        <v>637</v>
      </c>
    </row>
    <row r="5" spans="1:8">
      <c r="A5" t="s">
        <v>639</v>
      </c>
      <c r="F5" t="s">
        <v>632</v>
      </c>
    </row>
    <row r="6" spans="1:8">
      <c r="B6" t="s">
        <v>615</v>
      </c>
    </row>
    <row r="7" spans="1:8">
      <c r="B7" t="s">
        <v>640</v>
      </c>
    </row>
    <row r="8" spans="1:8">
      <c r="B8" t="s">
        <v>641</v>
      </c>
    </row>
    <row r="9" spans="1:8">
      <c r="B9" t="s">
        <v>642</v>
      </c>
      <c r="F9" t="s">
        <v>632</v>
      </c>
      <c r="G9" t="s">
        <v>633</v>
      </c>
    </row>
    <row r="10" spans="1:8">
      <c r="B10" t="s">
        <v>627</v>
      </c>
    </row>
    <row r="11" spans="1:8">
      <c r="B11" t="s">
        <v>643</v>
      </c>
    </row>
    <row r="12" spans="1:8">
      <c r="B12" t="s">
        <v>644</v>
      </c>
    </row>
  </sheetData>
  <mergeCells count="1">
    <mergeCell ref="A2:B2"/>
  </mergeCells>
  <phoneticPr fontId="2"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37"/>
  <sheetViews>
    <sheetView topLeftCell="A4" workbookViewId="0">
      <selection activeCell="B8" sqref="B8"/>
    </sheetView>
  </sheetViews>
  <sheetFormatPr defaultRowHeight="16.5"/>
  <cols>
    <col min="1" max="1" width="4" bestFit="1" customWidth="1"/>
    <col min="2" max="2" width="31.625" bestFit="1" customWidth="1"/>
    <col min="3" max="3" width="16.25" bestFit="1" customWidth="1"/>
    <col min="4" max="4" width="10" customWidth="1"/>
    <col min="5" max="5" width="15.875" customWidth="1"/>
    <col min="6" max="6" width="8" bestFit="1" customWidth="1"/>
    <col min="7" max="8" width="9.125" customWidth="1"/>
    <col min="9" max="9" width="6.375" bestFit="1" customWidth="1"/>
    <col min="10" max="10" width="6.125" bestFit="1" customWidth="1"/>
    <col min="11" max="11" width="40.75" customWidth="1"/>
  </cols>
  <sheetData>
    <row r="1" spans="1:11">
      <c r="A1" s="47" t="s">
        <v>185</v>
      </c>
    </row>
    <row r="3" spans="1:11" ht="16.5" customHeight="1">
      <c r="A3" s="184" t="s">
        <v>148</v>
      </c>
      <c r="B3" s="184" t="s">
        <v>8</v>
      </c>
      <c r="C3" s="184" t="s">
        <v>195</v>
      </c>
      <c r="D3" s="184" t="s">
        <v>436</v>
      </c>
      <c r="E3" s="186" t="s">
        <v>150</v>
      </c>
      <c r="F3" s="188" t="s">
        <v>186</v>
      </c>
      <c r="G3" s="189"/>
      <c r="H3" s="189"/>
      <c r="I3" s="190"/>
      <c r="J3" s="186" t="s">
        <v>184</v>
      </c>
      <c r="K3" s="186" t="s">
        <v>149</v>
      </c>
    </row>
    <row r="4" spans="1:11" ht="16.5" customHeight="1">
      <c r="A4" s="185"/>
      <c r="B4" s="185"/>
      <c r="C4" s="185"/>
      <c r="D4" s="185"/>
      <c r="E4" s="187"/>
      <c r="F4" s="77" t="s">
        <v>437</v>
      </c>
      <c r="G4" s="76" t="s">
        <v>671</v>
      </c>
      <c r="H4" s="77" t="s">
        <v>670</v>
      </c>
      <c r="I4" s="77" t="s">
        <v>669</v>
      </c>
      <c r="J4" s="187"/>
      <c r="K4" s="187"/>
    </row>
    <row r="5" spans="1:11" ht="16.5" customHeight="1">
      <c r="A5" s="9">
        <v>1</v>
      </c>
      <c r="B5" s="9" t="s">
        <v>687</v>
      </c>
      <c r="C5" s="191" t="s">
        <v>590</v>
      </c>
      <c r="D5" s="193" t="s">
        <v>434</v>
      </c>
      <c r="E5" s="87" t="s">
        <v>430</v>
      </c>
      <c r="F5" s="8" t="s">
        <v>431</v>
      </c>
      <c r="G5" s="140" t="s">
        <v>672</v>
      </c>
      <c r="H5" s="140" t="s">
        <v>649</v>
      </c>
      <c r="I5" s="34" t="str">
        <f t="shared" ref="I5:I12" si="0">IF(ISBLANK(H5)=TRUE,G5,H5)</f>
        <v>SV11</v>
      </c>
      <c r="J5" s="37">
        <v>11</v>
      </c>
      <c r="K5" s="88" t="s">
        <v>433</v>
      </c>
    </row>
    <row r="6" spans="1:11" ht="16.5" customHeight="1">
      <c r="A6" s="9">
        <v>2</v>
      </c>
      <c r="B6" s="9" t="s">
        <v>684</v>
      </c>
      <c r="C6" s="196"/>
      <c r="D6" s="194"/>
      <c r="E6" s="87" t="s">
        <v>430</v>
      </c>
      <c r="F6" s="8" t="s">
        <v>431</v>
      </c>
      <c r="G6" s="140" t="s">
        <v>672</v>
      </c>
      <c r="H6" s="141" t="s">
        <v>650</v>
      </c>
      <c r="I6" s="34" t="str">
        <f t="shared" si="0"/>
        <v>SV12</v>
      </c>
      <c r="J6" s="37">
        <v>11</v>
      </c>
      <c r="K6" s="4" t="s">
        <v>496</v>
      </c>
    </row>
    <row r="7" spans="1:11">
      <c r="A7" s="9">
        <v>3</v>
      </c>
      <c r="B7" s="9" t="s">
        <v>689</v>
      </c>
      <c r="C7" s="196"/>
      <c r="D7" s="194"/>
      <c r="E7" s="87" t="s">
        <v>430</v>
      </c>
      <c r="F7" s="8" t="s">
        <v>431</v>
      </c>
      <c r="G7" s="140" t="s">
        <v>672</v>
      </c>
      <c r="H7" s="141" t="s">
        <v>651</v>
      </c>
      <c r="I7" s="34" t="str">
        <f t="shared" si="0"/>
        <v>SV13</v>
      </c>
      <c r="J7" s="37">
        <v>11</v>
      </c>
      <c r="K7" s="4" t="s">
        <v>464</v>
      </c>
    </row>
    <row r="8" spans="1:11">
      <c r="A8" s="9">
        <v>5</v>
      </c>
      <c r="B8" s="9" t="s">
        <v>692</v>
      </c>
      <c r="C8" s="196"/>
      <c r="D8" s="194"/>
      <c r="E8" s="87" t="s">
        <v>430</v>
      </c>
      <c r="F8" s="8" t="s">
        <v>431</v>
      </c>
      <c r="G8" s="140" t="s">
        <v>672</v>
      </c>
      <c r="H8" s="141" t="s">
        <v>652</v>
      </c>
      <c r="I8" s="34" t="str">
        <f t="shared" si="0"/>
        <v>SV14</v>
      </c>
      <c r="J8" s="37">
        <v>11</v>
      </c>
      <c r="K8" s="4" t="s">
        <v>465</v>
      </c>
    </row>
    <row r="9" spans="1:11">
      <c r="A9" s="9">
        <v>6</v>
      </c>
      <c r="B9" s="38" t="s">
        <v>435</v>
      </c>
      <c r="C9" s="192"/>
      <c r="D9" s="195"/>
      <c r="E9" s="38"/>
      <c r="F9" s="34"/>
      <c r="G9" s="34"/>
      <c r="H9" s="56"/>
      <c r="I9" s="34"/>
      <c r="J9" s="56" t="s">
        <v>674</v>
      </c>
      <c r="K9" s="60"/>
    </row>
    <row r="10" spans="1:11" ht="16.5" customHeight="1">
      <c r="A10" s="9">
        <v>7</v>
      </c>
      <c r="B10" s="9" t="s">
        <v>454</v>
      </c>
      <c r="C10" s="191" t="s">
        <v>490</v>
      </c>
      <c r="D10" s="193" t="s">
        <v>455</v>
      </c>
      <c r="E10" s="9" t="s">
        <v>587</v>
      </c>
      <c r="F10" s="8" t="s">
        <v>431</v>
      </c>
      <c r="G10" s="140" t="s">
        <v>438</v>
      </c>
      <c r="H10" s="140" t="s">
        <v>654</v>
      </c>
      <c r="I10" s="34" t="str">
        <f t="shared" si="0"/>
        <v>BE11</v>
      </c>
      <c r="J10" s="37">
        <v>11</v>
      </c>
      <c r="K10" s="4" t="s">
        <v>466</v>
      </c>
    </row>
    <row r="11" spans="1:11" ht="16.5" customHeight="1">
      <c r="A11" s="9">
        <v>8</v>
      </c>
      <c r="B11" s="38" t="s">
        <v>435</v>
      </c>
      <c r="C11" s="196"/>
      <c r="D11" s="194"/>
      <c r="E11" s="38"/>
      <c r="F11" s="34"/>
      <c r="G11" s="34"/>
      <c r="H11" s="56"/>
      <c r="I11" s="34"/>
      <c r="J11" s="56" t="s">
        <v>451</v>
      </c>
      <c r="K11" s="60"/>
    </row>
    <row r="12" spans="1:11">
      <c r="A12" s="9">
        <v>9</v>
      </c>
      <c r="B12" s="9" t="s">
        <v>456</v>
      </c>
      <c r="C12" s="196"/>
      <c r="D12" s="194"/>
      <c r="E12" s="9" t="s">
        <v>456</v>
      </c>
      <c r="F12" s="8" t="s">
        <v>431</v>
      </c>
      <c r="G12" s="140" t="s">
        <v>648</v>
      </c>
      <c r="H12" s="140" t="s">
        <v>610</v>
      </c>
      <c r="I12" s="34" t="str">
        <f t="shared" si="0"/>
        <v>PQ11</v>
      </c>
      <c r="J12" s="37">
        <v>16</v>
      </c>
      <c r="K12" s="4" t="s">
        <v>467</v>
      </c>
    </row>
    <row r="13" spans="1:11">
      <c r="A13" s="9">
        <v>10</v>
      </c>
      <c r="B13" s="38" t="s">
        <v>435</v>
      </c>
      <c r="C13" s="196"/>
      <c r="D13" s="194"/>
      <c r="E13" s="38"/>
      <c r="F13" s="34"/>
      <c r="G13" s="34"/>
      <c r="H13" s="56"/>
      <c r="I13" s="56"/>
      <c r="J13" s="56" t="s">
        <v>453</v>
      </c>
      <c r="K13" s="38"/>
    </row>
    <row r="14" spans="1:11">
      <c r="A14" s="9">
        <v>11</v>
      </c>
      <c r="B14" s="9" t="s">
        <v>457</v>
      </c>
      <c r="C14" s="196"/>
      <c r="D14" s="194"/>
      <c r="E14" s="9" t="s">
        <v>457</v>
      </c>
      <c r="F14" s="8" t="s">
        <v>431</v>
      </c>
      <c r="G14" s="140" t="s">
        <v>439</v>
      </c>
      <c r="H14" s="140" t="s">
        <v>611</v>
      </c>
      <c r="I14" s="34" t="str">
        <f t="shared" ref="I14" si="1">IF(ISBLANK(H14)=TRUE,G14,H14)</f>
        <v>SP11</v>
      </c>
      <c r="J14" s="37">
        <v>21</v>
      </c>
      <c r="K14" s="4" t="s">
        <v>468</v>
      </c>
    </row>
    <row r="15" spans="1:11">
      <c r="A15" s="9">
        <v>12</v>
      </c>
      <c r="B15" s="38" t="s">
        <v>435</v>
      </c>
      <c r="C15" s="196"/>
      <c r="D15" s="194"/>
      <c r="E15" s="38"/>
      <c r="F15" s="34"/>
      <c r="G15" s="34"/>
      <c r="H15" s="56"/>
      <c r="I15" s="56"/>
      <c r="J15" s="56" t="s">
        <v>440</v>
      </c>
      <c r="K15" s="38"/>
    </row>
    <row r="16" spans="1:11">
      <c r="A16" s="9">
        <v>13</v>
      </c>
      <c r="B16" s="9" t="s">
        <v>458</v>
      </c>
      <c r="C16" s="196"/>
      <c r="D16" s="194"/>
      <c r="E16" s="9" t="s">
        <v>588</v>
      </c>
      <c r="F16" s="8" t="s">
        <v>431</v>
      </c>
      <c r="G16" s="140" t="s">
        <v>441</v>
      </c>
      <c r="H16" s="140" t="s">
        <v>658</v>
      </c>
      <c r="I16" s="34" t="str">
        <f t="shared" ref="I16" si="2">IF(ISBLANK(H16)=TRUE,G16,H16)</f>
        <v>BIM1</v>
      </c>
      <c r="J16" s="37">
        <v>25</v>
      </c>
      <c r="K16" s="4" t="s">
        <v>469</v>
      </c>
    </row>
    <row r="17" spans="1:11">
      <c r="A17" s="9">
        <v>14</v>
      </c>
      <c r="B17" s="38" t="s">
        <v>435</v>
      </c>
      <c r="C17" s="196"/>
      <c r="D17" s="194"/>
      <c r="E17" s="38"/>
      <c r="F17" s="34"/>
      <c r="G17" s="34"/>
      <c r="H17" s="56"/>
      <c r="I17" s="56"/>
      <c r="J17" s="56" t="s">
        <v>442</v>
      </c>
      <c r="K17" s="38"/>
    </row>
    <row r="18" spans="1:11">
      <c r="A18" s="9">
        <v>15</v>
      </c>
      <c r="B18" s="9" t="s">
        <v>459</v>
      </c>
      <c r="C18" s="196"/>
      <c r="D18" s="194"/>
      <c r="E18" s="9" t="s">
        <v>459</v>
      </c>
      <c r="F18" s="8" t="s">
        <v>431</v>
      </c>
      <c r="G18" s="140" t="s">
        <v>443</v>
      </c>
      <c r="H18" s="140" t="s">
        <v>655</v>
      </c>
      <c r="I18" s="34" t="str">
        <f t="shared" ref="I18" si="3">IF(ISBLANK(H18)=TRUE,G18,H18)</f>
        <v>GE21</v>
      </c>
      <c r="J18" s="37">
        <v>29</v>
      </c>
      <c r="K18" s="4" t="s">
        <v>470</v>
      </c>
    </row>
    <row r="19" spans="1:11">
      <c r="A19" s="9">
        <v>16</v>
      </c>
      <c r="B19" s="38" t="s">
        <v>435</v>
      </c>
      <c r="C19" s="196"/>
      <c r="D19" s="194"/>
      <c r="E19" s="38"/>
      <c r="F19" s="34"/>
      <c r="G19" s="34"/>
      <c r="H19" s="56"/>
      <c r="I19" s="56"/>
      <c r="J19" s="56" t="s">
        <v>444</v>
      </c>
      <c r="K19" s="38"/>
    </row>
    <row r="20" spans="1:11">
      <c r="A20" s="9">
        <v>17</v>
      </c>
      <c r="B20" s="87" t="s">
        <v>406</v>
      </c>
      <c r="C20" s="196"/>
      <c r="D20" s="194"/>
      <c r="E20" s="87" t="s">
        <v>406</v>
      </c>
      <c r="F20" s="8" t="s">
        <v>431</v>
      </c>
      <c r="G20" s="140" t="s">
        <v>445</v>
      </c>
      <c r="H20" s="140" t="s">
        <v>609</v>
      </c>
      <c r="I20" s="34" t="str">
        <f t="shared" ref="I20" si="4">IF(ISBLANK(H20)=TRUE,G20,H20)</f>
        <v>MS71</v>
      </c>
      <c r="J20" s="37">
        <v>36</v>
      </c>
      <c r="K20" s="4" t="s">
        <v>471</v>
      </c>
    </row>
    <row r="21" spans="1:11">
      <c r="A21" s="9">
        <v>18</v>
      </c>
      <c r="B21" s="38" t="s">
        <v>435</v>
      </c>
      <c r="C21" s="196"/>
      <c r="D21" s="194"/>
      <c r="E21" s="38"/>
      <c r="F21" s="34"/>
      <c r="G21" s="34"/>
      <c r="H21" s="56"/>
      <c r="I21" s="56"/>
      <c r="J21" s="56" t="s">
        <v>446</v>
      </c>
      <c r="K21" s="38"/>
    </row>
    <row r="22" spans="1:11">
      <c r="A22" s="9">
        <v>19</v>
      </c>
      <c r="B22" s="9" t="s">
        <v>460</v>
      </c>
      <c r="C22" s="196"/>
      <c r="D22" s="194"/>
      <c r="E22" s="9" t="s">
        <v>305</v>
      </c>
      <c r="F22" s="8" t="s">
        <v>431</v>
      </c>
      <c r="G22" s="140" t="s">
        <v>447</v>
      </c>
      <c r="H22" s="140" t="s">
        <v>659</v>
      </c>
      <c r="I22" s="34" t="str">
        <f t="shared" ref="I22:I24" si="5">IF(ISBLANK(H22)=TRUE,G22,H22)</f>
        <v>WO11</v>
      </c>
      <c r="J22" s="37">
        <v>41</v>
      </c>
      <c r="K22" s="26" t="s">
        <v>472</v>
      </c>
    </row>
    <row r="23" spans="1:11">
      <c r="A23" s="9">
        <v>20</v>
      </c>
      <c r="B23" s="9" t="s">
        <v>461</v>
      </c>
      <c r="C23" s="196"/>
      <c r="D23" s="194"/>
      <c r="E23" s="9" t="s">
        <v>305</v>
      </c>
      <c r="F23" s="8" t="s">
        <v>431</v>
      </c>
      <c r="G23" s="140" t="s">
        <v>447</v>
      </c>
      <c r="H23" s="140" t="s">
        <v>653</v>
      </c>
      <c r="I23" s="34" t="str">
        <f t="shared" si="5"/>
        <v>WO12</v>
      </c>
      <c r="J23" s="37">
        <v>42</v>
      </c>
      <c r="K23" s="26" t="s">
        <v>473</v>
      </c>
    </row>
    <row r="24" spans="1:11">
      <c r="A24" s="9">
        <v>21</v>
      </c>
      <c r="B24" s="9" t="s">
        <v>462</v>
      </c>
      <c r="C24" s="196"/>
      <c r="D24" s="194"/>
      <c r="E24" s="9" t="s">
        <v>305</v>
      </c>
      <c r="F24" s="8" t="s">
        <v>431</v>
      </c>
      <c r="G24" s="140" t="s">
        <v>447</v>
      </c>
      <c r="H24" s="140" t="s">
        <v>665</v>
      </c>
      <c r="I24" s="34" t="str">
        <f t="shared" si="5"/>
        <v>WO13</v>
      </c>
      <c r="J24" s="37">
        <v>43</v>
      </c>
      <c r="K24" s="26" t="s">
        <v>474</v>
      </c>
    </row>
    <row r="25" spans="1:11">
      <c r="A25" s="9">
        <v>22</v>
      </c>
      <c r="B25" s="38" t="s">
        <v>435</v>
      </c>
      <c r="C25" s="192"/>
      <c r="D25" s="195"/>
      <c r="E25" s="38"/>
      <c r="F25" s="34"/>
      <c r="G25" s="34"/>
      <c r="H25" s="56"/>
      <c r="I25" s="56"/>
      <c r="J25" s="56" t="s">
        <v>448</v>
      </c>
      <c r="K25" s="38"/>
    </row>
    <row r="26" spans="1:11" ht="16.5" customHeight="1">
      <c r="A26" s="9">
        <v>23</v>
      </c>
      <c r="B26" s="9" t="s">
        <v>463</v>
      </c>
      <c r="C26" s="191" t="s">
        <v>477</v>
      </c>
      <c r="D26" s="193" t="s">
        <v>478</v>
      </c>
      <c r="E26" s="9" t="s">
        <v>463</v>
      </c>
      <c r="F26" s="8" t="s">
        <v>431</v>
      </c>
      <c r="G26" s="140" t="s">
        <v>449</v>
      </c>
      <c r="H26" s="140" t="s">
        <v>656</v>
      </c>
      <c r="I26" s="34" t="str">
        <f t="shared" ref="I26" si="6">IF(ISBLANK(H26)=TRUE,G26,H26)</f>
        <v>PS91</v>
      </c>
      <c r="J26" s="37">
        <v>46</v>
      </c>
      <c r="K26" s="4" t="s">
        <v>475</v>
      </c>
    </row>
    <row r="27" spans="1:11" ht="16.5" customHeight="1">
      <c r="A27" s="9">
        <v>24</v>
      </c>
      <c r="B27" s="38" t="s">
        <v>435</v>
      </c>
      <c r="C27" s="192"/>
      <c r="D27" s="194"/>
      <c r="E27" s="38"/>
      <c r="F27" s="34"/>
      <c r="G27" s="34"/>
      <c r="H27" s="56"/>
      <c r="I27" s="56"/>
      <c r="J27" s="56" t="s">
        <v>450</v>
      </c>
      <c r="K27" s="38"/>
    </row>
    <row r="28" spans="1:11" ht="16.5" customHeight="1">
      <c r="A28" s="9">
        <v>25</v>
      </c>
      <c r="B28" s="9" t="s">
        <v>536</v>
      </c>
      <c r="C28" s="191" t="s">
        <v>479</v>
      </c>
      <c r="D28" s="194"/>
      <c r="E28" s="9" t="s">
        <v>530</v>
      </c>
      <c r="F28" s="8" t="s">
        <v>431</v>
      </c>
      <c r="G28" s="140" t="s">
        <v>647</v>
      </c>
      <c r="H28" s="140" t="s">
        <v>657</v>
      </c>
      <c r="I28" s="34" t="str">
        <f t="shared" ref="I28" si="7">IF(ISBLANK(H28)=TRUE,G28,H28)</f>
        <v>VMS1</v>
      </c>
      <c r="J28" s="37">
        <v>49</v>
      </c>
      <c r="K28" s="4" t="s">
        <v>476</v>
      </c>
    </row>
    <row r="29" spans="1:11" ht="16.5" customHeight="1">
      <c r="A29" s="9">
        <v>26</v>
      </c>
      <c r="B29" s="38" t="s">
        <v>435</v>
      </c>
      <c r="C29" s="192"/>
      <c r="D29" s="195"/>
      <c r="E29" s="38"/>
      <c r="F29" s="34"/>
      <c r="G29" s="34"/>
      <c r="H29" s="56"/>
      <c r="I29" s="56"/>
      <c r="J29" s="56">
        <v>50</v>
      </c>
      <c r="K29" s="38"/>
    </row>
    <row r="32" spans="1:11">
      <c r="B32" s="54"/>
      <c r="C32" s="54"/>
      <c r="D32" s="54"/>
    </row>
    <row r="33" spans="2:4">
      <c r="B33" s="54"/>
      <c r="C33" s="54"/>
      <c r="D33" s="54"/>
    </row>
    <row r="35" spans="2:4">
      <c r="B35" s="54"/>
      <c r="C35" s="54"/>
      <c r="D35" s="54"/>
    </row>
    <row r="36" spans="2:4">
      <c r="B36" s="54"/>
      <c r="C36" s="54"/>
      <c r="D36" s="54"/>
    </row>
    <row r="37" spans="2:4">
      <c r="B37" s="54"/>
      <c r="C37" s="54"/>
      <c r="D37" s="54"/>
    </row>
  </sheetData>
  <sortState ref="A4:K32">
    <sortCondition ref="J4:J32"/>
  </sortState>
  <mergeCells count="15">
    <mergeCell ref="C26:C27"/>
    <mergeCell ref="D26:D29"/>
    <mergeCell ref="C28:C29"/>
    <mergeCell ref="D5:D9"/>
    <mergeCell ref="K3:K4"/>
    <mergeCell ref="E3:E4"/>
    <mergeCell ref="C5:C9"/>
    <mergeCell ref="C10:C25"/>
    <mergeCell ref="D10:D25"/>
    <mergeCell ref="B3:B4"/>
    <mergeCell ref="A3:A4"/>
    <mergeCell ref="J3:J4"/>
    <mergeCell ref="F3:I3"/>
    <mergeCell ref="D3:D4"/>
    <mergeCell ref="C3:C4"/>
  </mergeCells>
  <phoneticPr fontId="2" type="noConversion"/>
  <pageMargins left="0.7" right="0.7" top="0.75" bottom="0.75" header="0.3" footer="0.3"/>
  <legacy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W26"/>
  <sheetViews>
    <sheetView workbookViewId="0">
      <selection activeCell="D14" sqref="D11:D14"/>
    </sheetView>
  </sheetViews>
  <sheetFormatPr defaultRowHeight="16.5" outlineLevelCol="1"/>
  <cols>
    <col min="1" max="1" width="6.375" bestFit="1" customWidth="1"/>
    <col min="2" max="2" width="17.625" customWidth="1"/>
    <col min="3" max="3" width="4.75" bestFit="1" customWidth="1"/>
    <col min="4" max="4" width="25.75" customWidth="1"/>
    <col min="5" max="5" width="8" customWidth="1"/>
    <col min="6" max="6" width="7" customWidth="1"/>
    <col min="7" max="8" width="6.375" customWidth="1"/>
    <col min="9" max="9" width="7.375" customWidth="1"/>
    <col min="10" max="10" width="7.875" customWidth="1"/>
    <col min="11" max="11" width="9.5" style="19" customWidth="1" outlineLevel="1"/>
    <col min="12" max="12" width="6.875" customWidth="1" outlineLevel="1"/>
    <col min="13" max="13" width="4.375" customWidth="1" outlineLevel="1"/>
    <col min="14" max="14" width="9.5" customWidth="1" outlineLevel="1"/>
    <col min="15" max="15" width="6.875" customWidth="1" outlineLevel="1"/>
    <col min="16" max="16" width="4.375" customWidth="1" outlineLevel="1"/>
    <col min="17" max="17" width="9.625" hidden="1" customWidth="1" outlineLevel="1"/>
    <col min="18" max="18" width="6.875" hidden="1" customWidth="1" outlineLevel="1"/>
    <col min="19" max="19" width="4.375" hidden="1" customWidth="1" outlineLevel="1"/>
    <col min="20" max="20" width="9.75" customWidth="1" outlineLevel="1"/>
    <col min="21" max="21" width="6.875" customWidth="1" outlineLevel="1"/>
    <col min="22" max="22" width="4.375" customWidth="1" outlineLevel="1"/>
    <col min="23" max="23" width="30.5" customWidth="1"/>
  </cols>
  <sheetData>
    <row r="2" spans="1:23">
      <c r="B2" s="22" t="s">
        <v>0</v>
      </c>
      <c r="C2" s="22" t="s">
        <v>40</v>
      </c>
      <c r="D2" s="22" t="s">
        <v>41</v>
      </c>
      <c r="E2" s="22"/>
      <c r="K2"/>
    </row>
    <row r="3" spans="1:23">
      <c r="B3" s="198" t="s">
        <v>132</v>
      </c>
      <c r="C3" s="3" t="s">
        <v>1</v>
      </c>
      <c r="D3" s="1" t="s">
        <v>2</v>
      </c>
      <c r="E3" s="1"/>
      <c r="K3"/>
    </row>
    <row r="4" spans="1:23">
      <c r="B4" s="198"/>
      <c r="C4" s="2" t="s">
        <v>3</v>
      </c>
      <c r="D4" s="1" t="s">
        <v>589</v>
      </c>
      <c r="E4" s="1"/>
      <c r="K4"/>
    </row>
    <row r="5" spans="1:23">
      <c r="B5" s="207" t="s">
        <v>47</v>
      </c>
      <c r="C5" s="3" t="s">
        <v>46</v>
      </c>
      <c r="D5" s="1" t="s">
        <v>45</v>
      </c>
      <c r="E5" s="1"/>
      <c r="K5"/>
    </row>
    <row r="6" spans="1:23" ht="27">
      <c r="B6" s="208"/>
      <c r="C6" s="2" t="s">
        <v>15</v>
      </c>
      <c r="D6" s="23" t="s">
        <v>42</v>
      </c>
      <c r="E6" s="1"/>
      <c r="K6"/>
    </row>
    <row r="7" spans="1:23">
      <c r="B7" s="2"/>
      <c r="C7" s="2"/>
      <c r="D7" s="4"/>
      <c r="E7" s="4"/>
      <c r="K7"/>
    </row>
    <row r="9" spans="1:23" ht="16.5" customHeight="1">
      <c r="A9" s="186" t="s">
        <v>4</v>
      </c>
      <c r="B9" s="186" t="s">
        <v>6</v>
      </c>
      <c r="C9" s="184" t="s">
        <v>7</v>
      </c>
      <c r="D9" s="184" t="s">
        <v>8</v>
      </c>
      <c r="E9" s="186" t="s">
        <v>151</v>
      </c>
      <c r="F9" s="197" t="s">
        <v>137</v>
      </c>
      <c r="G9" s="197"/>
      <c r="H9" s="197"/>
      <c r="I9" s="197"/>
      <c r="J9" s="186" t="s">
        <v>136</v>
      </c>
      <c r="K9" s="199" t="s">
        <v>36</v>
      </c>
      <c r="L9" s="200"/>
      <c r="M9" s="200"/>
      <c r="N9" s="201" t="s">
        <v>37</v>
      </c>
      <c r="O9" s="202"/>
      <c r="P9" s="202"/>
      <c r="Q9" s="203" t="s">
        <v>38</v>
      </c>
      <c r="R9" s="204"/>
      <c r="S9" s="204"/>
      <c r="T9" s="205" t="s">
        <v>39</v>
      </c>
      <c r="U9" s="206"/>
      <c r="V9" s="206"/>
      <c r="W9" s="184" t="s">
        <v>9</v>
      </c>
    </row>
    <row r="10" spans="1:23">
      <c r="A10" s="187"/>
      <c r="B10" s="187"/>
      <c r="C10" s="185"/>
      <c r="D10" s="185"/>
      <c r="E10" s="187"/>
      <c r="F10" s="36" t="s">
        <v>133</v>
      </c>
      <c r="G10" s="36" t="s">
        <v>134</v>
      </c>
      <c r="H10" s="36" t="s">
        <v>147</v>
      </c>
      <c r="I10" s="36" t="s">
        <v>135</v>
      </c>
      <c r="J10" s="187"/>
      <c r="K10" s="42" t="s">
        <v>138</v>
      </c>
      <c r="L10" s="42" t="s">
        <v>10</v>
      </c>
      <c r="M10" s="41" t="s">
        <v>11</v>
      </c>
      <c r="N10" s="42" t="s">
        <v>138</v>
      </c>
      <c r="O10" s="42" t="s">
        <v>10</v>
      </c>
      <c r="P10" s="41" t="s">
        <v>11</v>
      </c>
      <c r="Q10" s="42" t="s">
        <v>138</v>
      </c>
      <c r="R10" s="42" t="s">
        <v>10</v>
      </c>
      <c r="S10" s="41" t="s">
        <v>11</v>
      </c>
      <c r="T10" s="42" t="s">
        <v>138</v>
      </c>
      <c r="U10" s="42" t="s">
        <v>10</v>
      </c>
      <c r="V10" s="41" t="s">
        <v>11</v>
      </c>
      <c r="W10" s="185"/>
    </row>
    <row r="11" spans="1:23">
      <c r="A11" s="81" t="s">
        <v>672</v>
      </c>
      <c r="B11" s="5" t="s">
        <v>489</v>
      </c>
      <c r="C11" s="142" t="s">
        <v>44</v>
      </c>
      <c r="D11" s="39" t="s">
        <v>688</v>
      </c>
      <c r="E11" s="10" t="str">
        <f>VLOOKUP(D11,'Domain별 코드 체계'!$B$5:$J$29,7,0)</f>
        <v>SV11</v>
      </c>
      <c r="F11" s="8">
        <v>1</v>
      </c>
      <c r="G11" s="8">
        <v>1</v>
      </c>
      <c r="H11" s="37">
        <v>1</v>
      </c>
      <c r="I11" s="8">
        <v>1</v>
      </c>
      <c r="J11" s="34" t="str">
        <f t="shared" ref="J11:J15" si="0">F11&amp;G11&amp;H11&amp;I11</f>
        <v>1111</v>
      </c>
      <c r="K11" s="20" t="str">
        <f t="shared" ref="K11:K21" si="1">CONCATENATE("P-",E11,"-",C11)</f>
        <v>P-SV11-O</v>
      </c>
      <c r="L11" s="6">
        <v>2</v>
      </c>
      <c r="M11" s="20">
        <v>2</v>
      </c>
      <c r="N11" s="20" t="str">
        <f t="shared" ref="N11:N21" si="2">CONCATENATE("T-",E11,"-",C11)</f>
        <v>T-SV11-O</v>
      </c>
      <c r="O11" s="20">
        <v>1</v>
      </c>
      <c r="P11" s="21">
        <v>1</v>
      </c>
      <c r="Q11" s="20" t="str">
        <f t="shared" ref="Q11:Q21" si="3">CONCATENATE("V-",E11,"-",C11)</f>
        <v>V-SV11-O</v>
      </c>
      <c r="R11" s="20">
        <v>1</v>
      </c>
      <c r="S11" s="21">
        <v>2</v>
      </c>
      <c r="T11" s="20" t="str">
        <f t="shared" ref="T11:T21" si="4">CONCATENATE("D-",E11,"-",C11)</f>
        <v>D-SV11-O</v>
      </c>
      <c r="U11" s="6">
        <v>2</v>
      </c>
      <c r="V11" s="20">
        <v>2</v>
      </c>
      <c r="W11" s="4"/>
    </row>
    <row r="12" spans="1:23">
      <c r="A12" s="143" t="s">
        <v>672</v>
      </c>
      <c r="B12" s="5" t="s">
        <v>489</v>
      </c>
      <c r="C12" s="142" t="s">
        <v>1</v>
      </c>
      <c r="D12" s="39" t="s">
        <v>685</v>
      </c>
      <c r="E12" s="10" t="str">
        <f>VLOOKUP(D12,'Domain별 코드 체계'!$B$5:$J$29,7,0)</f>
        <v>SV12</v>
      </c>
      <c r="F12" s="8">
        <v>1</v>
      </c>
      <c r="G12" s="8">
        <v>1</v>
      </c>
      <c r="H12" s="37">
        <v>1</v>
      </c>
      <c r="I12" s="8">
        <v>2</v>
      </c>
      <c r="J12" s="34" t="str">
        <f t="shared" si="0"/>
        <v>1112</v>
      </c>
      <c r="K12" s="20" t="str">
        <f t="shared" si="1"/>
        <v>P-SV12-O</v>
      </c>
      <c r="L12" s="6">
        <v>2</v>
      </c>
      <c r="M12" s="20">
        <v>1</v>
      </c>
      <c r="N12" s="20" t="str">
        <f t="shared" si="2"/>
        <v>T-SV12-O</v>
      </c>
      <c r="O12" s="20">
        <v>1</v>
      </c>
      <c r="P12" s="21">
        <v>1</v>
      </c>
      <c r="Q12" s="20" t="str">
        <f t="shared" si="3"/>
        <v>V-SV12-O</v>
      </c>
      <c r="R12" s="20">
        <v>1</v>
      </c>
      <c r="S12" s="21">
        <v>3</v>
      </c>
      <c r="T12" s="20" t="str">
        <f t="shared" si="4"/>
        <v>D-SV12-O</v>
      </c>
      <c r="U12" s="6">
        <v>2</v>
      </c>
      <c r="V12" s="20">
        <v>1</v>
      </c>
      <c r="W12" s="4"/>
    </row>
    <row r="13" spans="1:23">
      <c r="A13" s="143" t="s">
        <v>672</v>
      </c>
      <c r="B13" s="5" t="s">
        <v>489</v>
      </c>
      <c r="C13" s="142" t="s">
        <v>1</v>
      </c>
      <c r="D13" s="39" t="s">
        <v>690</v>
      </c>
      <c r="E13" s="10" t="str">
        <f>VLOOKUP(D13,'Domain별 코드 체계'!$B$5:$J$29,7,0)</f>
        <v>SV13</v>
      </c>
      <c r="F13" s="8">
        <v>1</v>
      </c>
      <c r="G13" s="8">
        <v>1</v>
      </c>
      <c r="H13" s="37">
        <v>1</v>
      </c>
      <c r="I13" s="8">
        <v>3</v>
      </c>
      <c r="J13" s="34" t="str">
        <f t="shared" si="0"/>
        <v>1113</v>
      </c>
      <c r="K13" s="20" t="str">
        <f t="shared" si="1"/>
        <v>P-SV13-O</v>
      </c>
      <c r="L13" s="6">
        <v>2</v>
      </c>
      <c r="M13" s="20">
        <v>1</v>
      </c>
      <c r="N13" s="20" t="str">
        <f t="shared" si="2"/>
        <v>T-SV13-O</v>
      </c>
      <c r="O13" s="20">
        <v>1</v>
      </c>
      <c r="P13" s="21">
        <v>1</v>
      </c>
      <c r="Q13" s="20" t="str">
        <f t="shared" si="3"/>
        <v>V-SV13-O</v>
      </c>
      <c r="R13" s="20">
        <v>1</v>
      </c>
      <c r="S13" s="21">
        <v>2</v>
      </c>
      <c r="T13" s="20" t="str">
        <f t="shared" si="4"/>
        <v>D-SV13-O</v>
      </c>
      <c r="U13" s="6">
        <v>2</v>
      </c>
      <c r="V13" s="20">
        <v>1</v>
      </c>
      <c r="W13" s="4"/>
    </row>
    <row r="14" spans="1:23">
      <c r="A14" s="137" t="s">
        <v>673</v>
      </c>
      <c r="B14" s="5" t="s">
        <v>489</v>
      </c>
      <c r="C14" s="142" t="s">
        <v>1</v>
      </c>
      <c r="D14" s="40" t="s">
        <v>693</v>
      </c>
      <c r="E14" s="10" t="str">
        <f>VLOOKUP(D14,'Domain별 코드 체계'!$B$5:$J$29,7,0)</f>
        <v>SV14</v>
      </c>
      <c r="F14" s="8">
        <v>1</v>
      </c>
      <c r="G14" s="8">
        <v>1</v>
      </c>
      <c r="H14" s="37">
        <v>1</v>
      </c>
      <c r="I14" s="8">
        <v>4</v>
      </c>
      <c r="J14" s="34" t="str">
        <f t="shared" si="0"/>
        <v>1114</v>
      </c>
      <c r="K14" s="20" t="str">
        <f t="shared" si="1"/>
        <v>P-SV14-O</v>
      </c>
      <c r="L14" s="6">
        <v>2</v>
      </c>
      <c r="M14" s="20">
        <v>1</v>
      </c>
      <c r="N14" s="20" t="str">
        <f t="shared" si="2"/>
        <v>T-SV14-O</v>
      </c>
      <c r="O14" s="20">
        <v>1</v>
      </c>
      <c r="P14" s="21">
        <v>1</v>
      </c>
      <c r="Q14" s="20" t="str">
        <f t="shared" si="3"/>
        <v>V-SV14-O</v>
      </c>
      <c r="R14" s="20">
        <v>1</v>
      </c>
      <c r="S14" s="21">
        <v>2</v>
      </c>
      <c r="T14" s="20" t="str">
        <f t="shared" si="4"/>
        <v>D-SV14-O</v>
      </c>
      <c r="U14" s="6">
        <v>2</v>
      </c>
      <c r="V14" s="20">
        <v>1</v>
      </c>
      <c r="W14" s="4"/>
    </row>
    <row r="15" spans="1:23">
      <c r="A15" s="8" t="s">
        <v>646</v>
      </c>
      <c r="B15" s="5" t="s">
        <v>491</v>
      </c>
      <c r="C15" s="142" t="s">
        <v>1</v>
      </c>
      <c r="D15" s="39" t="s">
        <v>480</v>
      </c>
      <c r="E15" s="10" t="str">
        <f>VLOOKUP(D15,'Domain별 코드 체계'!$B$5:$J$29,7,0)</f>
        <v>BE11</v>
      </c>
      <c r="F15" s="8">
        <v>1</v>
      </c>
      <c r="G15" s="8">
        <v>2</v>
      </c>
      <c r="H15" s="37">
        <v>3</v>
      </c>
      <c r="I15" s="8">
        <v>1</v>
      </c>
      <c r="J15" s="34" t="str">
        <f t="shared" si="0"/>
        <v>1231</v>
      </c>
      <c r="K15" s="20" t="str">
        <f t="shared" si="1"/>
        <v>P-BE11-O</v>
      </c>
      <c r="L15" s="6">
        <v>2</v>
      </c>
      <c r="M15" s="20">
        <v>2</v>
      </c>
      <c r="N15" s="20" t="str">
        <f t="shared" si="2"/>
        <v>T-BE11-O</v>
      </c>
      <c r="O15" s="20">
        <v>1</v>
      </c>
      <c r="P15" s="21">
        <v>1</v>
      </c>
      <c r="Q15" s="20" t="str">
        <f t="shared" si="3"/>
        <v>V-BE11-O</v>
      </c>
      <c r="R15" s="20">
        <v>1</v>
      </c>
      <c r="S15" s="21">
        <v>2</v>
      </c>
      <c r="T15" s="20" t="str">
        <f t="shared" si="4"/>
        <v>D-BE11-O</v>
      </c>
      <c r="U15" s="6"/>
      <c r="V15" s="7"/>
      <c r="W15" s="4"/>
    </row>
    <row r="16" spans="1:23">
      <c r="A16" s="8" t="s">
        <v>452</v>
      </c>
      <c r="B16" s="5" t="s">
        <v>491</v>
      </c>
      <c r="C16" s="142" t="s">
        <v>1</v>
      </c>
      <c r="D16" s="39" t="s">
        <v>481</v>
      </c>
      <c r="E16" s="10" t="str">
        <f>VLOOKUP(D16,'Domain별 코드 체계'!$B$5:$J$29,7,0)</f>
        <v>PQ11</v>
      </c>
      <c r="F16" s="8">
        <v>1</v>
      </c>
      <c r="G16" s="8">
        <v>2</v>
      </c>
      <c r="H16" s="37">
        <v>2</v>
      </c>
      <c r="I16" s="8">
        <v>1</v>
      </c>
      <c r="J16" s="34" t="str">
        <f t="shared" ref="J16:J18" si="5">F16&amp;G16&amp;H16&amp;I16</f>
        <v>1221</v>
      </c>
      <c r="K16" s="20" t="str">
        <f t="shared" si="1"/>
        <v>P-PQ11-O</v>
      </c>
      <c r="L16" s="6">
        <v>2</v>
      </c>
      <c r="M16" s="20">
        <v>3</v>
      </c>
      <c r="N16" s="20" t="str">
        <f t="shared" si="2"/>
        <v>T-PQ11-O</v>
      </c>
      <c r="O16" s="20">
        <v>1</v>
      </c>
      <c r="P16" s="21">
        <v>1</v>
      </c>
      <c r="Q16" s="20" t="str">
        <f t="shared" si="3"/>
        <v>V-PQ11-O</v>
      </c>
      <c r="R16" s="20">
        <v>1</v>
      </c>
      <c r="S16" s="21">
        <v>2</v>
      </c>
      <c r="T16" s="20" t="str">
        <f t="shared" si="4"/>
        <v>D-PQ11-O</v>
      </c>
      <c r="U16" s="6"/>
      <c r="V16" s="7"/>
      <c r="W16" s="4"/>
    </row>
    <row r="17" spans="1:23">
      <c r="A17" s="8" t="s">
        <v>439</v>
      </c>
      <c r="B17" s="5" t="s">
        <v>491</v>
      </c>
      <c r="C17" s="142" t="s">
        <v>1</v>
      </c>
      <c r="D17" s="39" t="s">
        <v>482</v>
      </c>
      <c r="E17" s="10" t="str">
        <f>VLOOKUP(D17,'Domain별 코드 체계'!$B$5:$J$29,7,0)</f>
        <v>SP11</v>
      </c>
      <c r="F17" s="8">
        <v>1</v>
      </c>
      <c r="G17" s="8">
        <v>2</v>
      </c>
      <c r="H17" s="37">
        <v>1</v>
      </c>
      <c r="I17" s="8">
        <v>1</v>
      </c>
      <c r="J17" s="34" t="str">
        <f t="shared" si="5"/>
        <v>1211</v>
      </c>
      <c r="K17" s="20" t="str">
        <f t="shared" si="1"/>
        <v>P-SP11-O</v>
      </c>
      <c r="L17" s="6">
        <v>2</v>
      </c>
      <c r="M17" s="20">
        <v>2</v>
      </c>
      <c r="N17" s="20" t="str">
        <f t="shared" si="2"/>
        <v>T-SP11-O</v>
      </c>
      <c r="O17" s="20">
        <v>1</v>
      </c>
      <c r="P17" s="21">
        <v>1</v>
      </c>
      <c r="Q17" s="20" t="str">
        <f t="shared" si="3"/>
        <v>V-SP11-O</v>
      </c>
      <c r="R17" s="20">
        <v>1</v>
      </c>
      <c r="S17" s="21">
        <v>2</v>
      </c>
      <c r="T17" s="20" t="str">
        <f t="shared" si="4"/>
        <v>D-SP11-O</v>
      </c>
      <c r="U17" s="6"/>
      <c r="V17" s="7"/>
      <c r="W17" s="4"/>
    </row>
    <row r="18" spans="1:23">
      <c r="A18" s="81" t="s">
        <v>441</v>
      </c>
      <c r="B18" s="5" t="s">
        <v>491</v>
      </c>
      <c r="C18" s="142" t="s">
        <v>1</v>
      </c>
      <c r="D18" s="39" t="s">
        <v>483</v>
      </c>
      <c r="E18" s="10" t="str">
        <f>VLOOKUP(D18,'Domain별 코드 체계'!$B$5:$J$29,7,0)</f>
        <v>BIM1</v>
      </c>
      <c r="F18" s="8">
        <v>1</v>
      </c>
      <c r="G18" s="8">
        <v>2</v>
      </c>
      <c r="H18" s="37">
        <v>6</v>
      </c>
      <c r="I18" s="8">
        <v>1</v>
      </c>
      <c r="J18" s="34" t="str">
        <f t="shared" si="5"/>
        <v>1261</v>
      </c>
      <c r="K18" s="20" t="str">
        <f t="shared" si="1"/>
        <v>P-BIM1-O</v>
      </c>
      <c r="L18" s="6">
        <v>2</v>
      </c>
      <c r="M18" s="20">
        <v>2</v>
      </c>
      <c r="N18" s="20" t="str">
        <f t="shared" si="2"/>
        <v>T-BIM1-O</v>
      </c>
      <c r="O18" s="20">
        <v>1</v>
      </c>
      <c r="P18" s="21">
        <v>1</v>
      </c>
      <c r="Q18" s="20" t="str">
        <f t="shared" si="3"/>
        <v>V-BIM1-O</v>
      </c>
      <c r="R18" s="20">
        <v>1</v>
      </c>
      <c r="S18" s="21">
        <v>2</v>
      </c>
      <c r="T18" s="20" t="str">
        <f t="shared" si="4"/>
        <v>D-BIM1-O</v>
      </c>
      <c r="U18" s="6"/>
      <c r="V18" s="7"/>
      <c r="W18" s="4"/>
    </row>
    <row r="19" spans="1:23">
      <c r="A19" s="81" t="s">
        <v>443</v>
      </c>
      <c r="B19" s="5" t="s">
        <v>491</v>
      </c>
      <c r="C19" s="142" t="s">
        <v>1</v>
      </c>
      <c r="D19" s="39" t="s">
        <v>484</v>
      </c>
      <c r="E19" s="10" t="str">
        <f>VLOOKUP(D19,'Domain별 코드 체계'!$B$5:$J$29,7,0)</f>
        <v>GE21</v>
      </c>
      <c r="F19" s="8">
        <v>1</v>
      </c>
      <c r="G19" s="8">
        <v>2</v>
      </c>
      <c r="H19" s="37">
        <v>4</v>
      </c>
      <c r="I19" s="8">
        <v>1</v>
      </c>
      <c r="J19" s="34" t="str">
        <f t="shared" ref="J19" si="6">F19&amp;G19&amp;H19&amp;I19</f>
        <v>1241</v>
      </c>
      <c r="K19" s="20" t="str">
        <f t="shared" si="1"/>
        <v>P-GE21-O</v>
      </c>
      <c r="L19" s="6">
        <v>2</v>
      </c>
      <c r="M19" s="20">
        <v>3</v>
      </c>
      <c r="N19" s="20" t="str">
        <f t="shared" si="2"/>
        <v>T-GE21-O</v>
      </c>
      <c r="O19" s="20">
        <v>1</v>
      </c>
      <c r="P19" s="21">
        <v>1</v>
      </c>
      <c r="Q19" s="20" t="str">
        <f t="shared" si="3"/>
        <v>V-GE21-O</v>
      </c>
      <c r="R19" s="20">
        <v>1</v>
      </c>
      <c r="S19" s="21">
        <v>2</v>
      </c>
      <c r="T19" s="20" t="str">
        <f t="shared" si="4"/>
        <v>D-GE21-O</v>
      </c>
      <c r="U19" s="6"/>
      <c r="V19" s="7"/>
      <c r="W19" s="4"/>
    </row>
    <row r="20" spans="1:23">
      <c r="A20" s="81" t="s">
        <v>445</v>
      </c>
      <c r="B20" s="5" t="s">
        <v>491</v>
      </c>
      <c r="C20" s="142" t="s">
        <v>1</v>
      </c>
      <c r="D20" s="39" t="s">
        <v>485</v>
      </c>
      <c r="E20" s="10" t="str">
        <f>VLOOKUP(D20,'Domain별 코드 체계'!$B$5:$J$29,7,0)</f>
        <v>MS71</v>
      </c>
      <c r="F20" s="8">
        <v>1</v>
      </c>
      <c r="G20" s="8">
        <v>2</v>
      </c>
      <c r="H20" s="37">
        <v>5</v>
      </c>
      <c r="I20" s="8">
        <v>1</v>
      </c>
      <c r="J20" s="34" t="str">
        <f t="shared" ref="J20" si="7">F20&amp;G20&amp;H20&amp;I20</f>
        <v>1251</v>
      </c>
      <c r="K20" s="20" t="str">
        <f t="shared" si="1"/>
        <v>P-MS71-O</v>
      </c>
      <c r="L20" s="6">
        <v>2</v>
      </c>
      <c r="M20" s="20">
        <v>2</v>
      </c>
      <c r="N20" s="20" t="str">
        <f t="shared" si="2"/>
        <v>T-MS71-O</v>
      </c>
      <c r="O20" s="20">
        <v>1</v>
      </c>
      <c r="P20" s="21">
        <v>1</v>
      </c>
      <c r="Q20" s="20" t="str">
        <f t="shared" si="3"/>
        <v>V-MS71-O</v>
      </c>
      <c r="R20" s="20">
        <v>1</v>
      </c>
      <c r="S20" s="21">
        <v>2</v>
      </c>
      <c r="T20" s="20" t="str">
        <f t="shared" si="4"/>
        <v>D-MS71-O</v>
      </c>
      <c r="U20" s="6"/>
      <c r="V20" s="7"/>
      <c r="W20" s="4"/>
    </row>
    <row r="21" spans="1:23">
      <c r="A21" s="81" t="s">
        <v>447</v>
      </c>
      <c r="B21" s="5" t="s">
        <v>491</v>
      </c>
      <c r="C21" s="142" t="s">
        <v>1</v>
      </c>
      <c r="D21" s="39" t="s">
        <v>486</v>
      </c>
      <c r="E21" s="10" t="str">
        <f>VLOOKUP(D21,'Domain별 코드 체계'!$B$5:$J$29,7,0)</f>
        <v>WO11</v>
      </c>
      <c r="F21" s="8">
        <v>1</v>
      </c>
      <c r="G21" s="8">
        <v>2</v>
      </c>
      <c r="H21" s="37">
        <v>7</v>
      </c>
      <c r="I21" s="8">
        <v>1</v>
      </c>
      <c r="J21" s="34" t="str">
        <f>F21&amp;G21&amp;H21&amp;I21</f>
        <v>1271</v>
      </c>
      <c r="K21" s="20" t="str">
        <f t="shared" si="1"/>
        <v>P-WO11-O</v>
      </c>
      <c r="L21" s="6">
        <v>2</v>
      </c>
      <c r="M21" s="20">
        <v>1</v>
      </c>
      <c r="N21" s="20" t="str">
        <f t="shared" si="2"/>
        <v>T-WO11-O</v>
      </c>
      <c r="O21" s="20">
        <v>1</v>
      </c>
      <c r="P21" s="21">
        <v>1</v>
      </c>
      <c r="Q21" s="20" t="str">
        <f t="shared" si="3"/>
        <v>V-WO11-O</v>
      </c>
      <c r="R21" s="20">
        <v>1</v>
      </c>
      <c r="S21" s="21">
        <v>2</v>
      </c>
      <c r="T21" s="20" t="str">
        <f t="shared" si="4"/>
        <v>D-WO11-O</v>
      </c>
      <c r="U21" s="6"/>
      <c r="V21" s="7"/>
      <c r="W21" s="4"/>
    </row>
    <row r="22" spans="1:23">
      <c r="A22" s="81" t="s">
        <v>447</v>
      </c>
      <c r="B22" s="5" t="s">
        <v>491</v>
      </c>
      <c r="C22" s="142" t="s">
        <v>1</v>
      </c>
      <c r="D22" s="39" t="s">
        <v>487</v>
      </c>
      <c r="E22" s="10" t="str">
        <f>VLOOKUP(D22,'Domain별 코드 체계'!$B$5:$J$29,7,0)</f>
        <v>WO12</v>
      </c>
      <c r="F22" s="8">
        <v>1</v>
      </c>
      <c r="G22" s="8">
        <v>2</v>
      </c>
      <c r="H22" s="37">
        <v>7</v>
      </c>
      <c r="I22" s="8">
        <v>2</v>
      </c>
      <c r="J22" s="34" t="str">
        <f t="shared" ref="J22" si="8">F22&amp;G22&amp;H22&amp;I22</f>
        <v>1272</v>
      </c>
      <c r="K22" s="20" t="str">
        <f t="shared" ref="K22" si="9">CONCATENATE("P-",E22,"-",C22)</f>
        <v>P-WO12-O</v>
      </c>
      <c r="L22" s="6">
        <v>2</v>
      </c>
      <c r="M22" s="20">
        <v>1</v>
      </c>
      <c r="N22" s="20" t="str">
        <f t="shared" ref="N22" si="10">CONCATENATE("T-",E22,"-",C22)</f>
        <v>T-WO12-O</v>
      </c>
      <c r="O22" s="20">
        <v>1</v>
      </c>
      <c r="P22" s="21">
        <v>1</v>
      </c>
      <c r="Q22" s="20" t="str">
        <f t="shared" ref="Q22" si="11">CONCATENATE("V-",E22,"-",C22)</f>
        <v>V-WO12-O</v>
      </c>
      <c r="R22" s="20">
        <v>1</v>
      </c>
      <c r="S22" s="21">
        <v>2</v>
      </c>
      <c r="T22" s="20" t="str">
        <f t="shared" ref="T22" si="12">CONCATENATE("D-",E22,"-",C22)</f>
        <v>D-WO12-O</v>
      </c>
      <c r="U22" s="6"/>
      <c r="V22" s="7"/>
      <c r="W22" s="4"/>
    </row>
    <row r="23" spans="1:23">
      <c r="A23" s="81" t="s">
        <v>447</v>
      </c>
      <c r="B23" s="5" t="s">
        <v>491</v>
      </c>
      <c r="C23" s="142" t="s">
        <v>1</v>
      </c>
      <c r="D23" s="39" t="s">
        <v>488</v>
      </c>
      <c r="E23" s="10" t="str">
        <f>VLOOKUP(D23,'Domain별 코드 체계'!$B$5:$J$29,7,0)</f>
        <v>WO13</v>
      </c>
      <c r="F23" s="8">
        <v>1</v>
      </c>
      <c r="G23" s="8">
        <v>2</v>
      </c>
      <c r="H23" s="37">
        <v>7</v>
      </c>
      <c r="I23" s="8">
        <v>3</v>
      </c>
      <c r="J23" s="34" t="str">
        <f>F23&amp;G23&amp;H23&amp;I23</f>
        <v>1273</v>
      </c>
      <c r="K23" s="20" t="str">
        <f>CONCATENATE("P-",E23,"-",C23)</f>
        <v>P-WO13-O</v>
      </c>
      <c r="L23" s="6">
        <v>2</v>
      </c>
      <c r="M23" s="20">
        <v>1</v>
      </c>
      <c r="N23" s="20" t="str">
        <f>CONCATENATE("T-",E23,"-",C23)</f>
        <v>T-WO13-O</v>
      </c>
      <c r="O23" s="20">
        <v>1</v>
      </c>
      <c r="P23" s="21">
        <v>1</v>
      </c>
      <c r="Q23" s="20" t="str">
        <f>CONCATENATE("V-",E23,"-",C23)</f>
        <v>V-WO13-O</v>
      </c>
      <c r="R23" s="20">
        <v>1</v>
      </c>
      <c r="S23" s="21">
        <v>2</v>
      </c>
      <c r="T23" s="20" t="str">
        <f>CONCATENATE("D-",E23,"-",C23)</f>
        <v>D-WO13-O</v>
      </c>
      <c r="U23" s="6"/>
      <c r="V23" s="7"/>
      <c r="W23" s="4"/>
    </row>
    <row r="24" spans="1:23">
      <c r="A24" s="81" t="s">
        <v>527</v>
      </c>
      <c r="B24" s="5" t="s">
        <v>531</v>
      </c>
      <c r="C24" s="142" t="s">
        <v>1</v>
      </c>
      <c r="D24" s="39" t="s">
        <v>526</v>
      </c>
      <c r="E24" s="10" t="str">
        <f>VLOOKUP(D24,'Domain별 코드 체계'!$B$5:$J$29,7,0)</f>
        <v>PS91</v>
      </c>
      <c r="F24" s="8">
        <v>1</v>
      </c>
      <c r="G24" s="8">
        <v>3</v>
      </c>
      <c r="H24" s="37">
        <v>1</v>
      </c>
      <c r="I24" s="8">
        <v>1</v>
      </c>
      <c r="J24" s="34" t="str">
        <f>F24&amp;G24&amp;H24&amp;I24</f>
        <v>1311</v>
      </c>
      <c r="K24" s="20" t="str">
        <f>CONCATENATE("P-",E24,"-",C24)</f>
        <v>P-PS91-O</v>
      </c>
      <c r="L24" s="6">
        <v>1</v>
      </c>
      <c r="M24" s="20">
        <v>1</v>
      </c>
      <c r="N24" s="20" t="str">
        <f>CONCATENATE("T-",E24,"-",C24)</f>
        <v>T-PS91-O</v>
      </c>
      <c r="O24" s="20">
        <v>1</v>
      </c>
      <c r="P24" s="21">
        <v>1</v>
      </c>
      <c r="Q24" s="20" t="str">
        <f>CONCATENATE("V-",E24,"-",C24)</f>
        <v>V-PS91-O</v>
      </c>
      <c r="R24" s="20">
        <v>1</v>
      </c>
      <c r="S24" s="21">
        <v>2</v>
      </c>
      <c r="T24" s="20" t="str">
        <f>CONCATENATE("D-",E24,"-",C24)</f>
        <v>D-PS91-O</v>
      </c>
      <c r="U24" s="6"/>
      <c r="V24" s="7"/>
      <c r="W24" s="4"/>
    </row>
    <row r="25" spans="1:23">
      <c r="A25" s="81" t="s">
        <v>647</v>
      </c>
      <c r="B25" s="5" t="s">
        <v>531</v>
      </c>
      <c r="C25" s="142" t="s">
        <v>492</v>
      </c>
      <c r="D25" s="9" t="s">
        <v>537</v>
      </c>
      <c r="E25" s="10" t="str">
        <f>VLOOKUP(D25,'Domain별 코드 체계'!$B$5:$J$29,7,0)</f>
        <v>VMS1</v>
      </c>
      <c r="F25" s="8">
        <v>1</v>
      </c>
      <c r="G25" s="8">
        <v>3</v>
      </c>
      <c r="H25" s="37">
        <v>2</v>
      </c>
      <c r="I25" s="8">
        <v>1</v>
      </c>
      <c r="J25" s="34" t="str">
        <f>F25&amp;G25&amp;H25&amp;I25</f>
        <v>1321</v>
      </c>
      <c r="K25" s="20" t="str">
        <f>CONCATENATE("P-",E25,"-",C25)</f>
        <v>P-VMS1-O</v>
      </c>
      <c r="L25" s="6">
        <v>1</v>
      </c>
      <c r="M25" s="20">
        <v>1</v>
      </c>
      <c r="N25" s="20" t="str">
        <f>CONCATENATE("T-",E25,"-",C25)</f>
        <v>T-VMS1-O</v>
      </c>
      <c r="O25" s="20">
        <v>1</v>
      </c>
      <c r="P25" s="21">
        <v>1</v>
      </c>
      <c r="Q25" s="20" t="str">
        <f>CONCATENATE("V-",E25,"-",C25)</f>
        <v>V-VMS1-O</v>
      </c>
      <c r="R25" s="20">
        <v>1</v>
      </c>
      <c r="S25" s="21">
        <v>2</v>
      </c>
      <c r="T25" s="20" t="str">
        <f>CONCATENATE("D-",E25,"-",C25)</f>
        <v>D-VMS1-O</v>
      </c>
      <c r="U25" s="6"/>
      <c r="V25" s="7"/>
      <c r="W25" s="4"/>
    </row>
    <row r="26" spans="1:23">
      <c r="D26" s="54"/>
    </row>
  </sheetData>
  <mergeCells count="14">
    <mergeCell ref="B3:B4"/>
    <mergeCell ref="W9:W10"/>
    <mergeCell ref="K9:M9"/>
    <mergeCell ref="N9:P9"/>
    <mergeCell ref="Q9:S9"/>
    <mergeCell ref="T9:V9"/>
    <mergeCell ref="J9:J10"/>
    <mergeCell ref="E9:E10"/>
    <mergeCell ref="B5:B6"/>
    <mergeCell ref="A9:A10"/>
    <mergeCell ref="B9:B10"/>
    <mergeCell ref="D9:D10"/>
    <mergeCell ref="C9:C10"/>
    <mergeCell ref="F9:I9"/>
  </mergeCells>
  <phoneticPr fontId="0" type="Hiragana"/>
  <dataValidations disablePrompts="1" count="1">
    <dataValidation type="list" allowBlank="1" showInputMessage="1" showErrorMessage="1" sqref="C11:C25">
      <formula1>"O,A"</formula1>
    </dataValidation>
  </dataValidations>
  <pageMargins left="0.7" right="0.7" top="0.75" bottom="0.75" header="0.3" footer="0.3"/>
  <pageSetup paperSize="9" orientation="portrait" verticalDpi="0"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87"/>
  <sheetViews>
    <sheetView tabSelected="1" topLeftCell="D1" zoomScale="85" zoomScaleNormal="85" workbookViewId="0">
      <pane ySplit="6" topLeftCell="A53" activePane="bottomLeft" state="frozen"/>
      <selection pane="bottomLeft" activeCell="D58" sqref="D58"/>
    </sheetView>
  </sheetViews>
  <sheetFormatPr defaultRowHeight="16.5"/>
  <cols>
    <col min="1" max="1" width="4.75" style="65" bestFit="1" customWidth="1"/>
    <col min="2" max="2" width="6.375" style="65" bestFit="1" customWidth="1"/>
    <col min="3" max="3" width="4.75" style="65" bestFit="1" customWidth="1"/>
    <col min="4" max="4" width="21.375" style="66" customWidth="1"/>
    <col min="5" max="5" width="9.375" style="66" bestFit="1" customWidth="1"/>
    <col min="6" max="6" width="24.875" style="66" customWidth="1"/>
    <col min="7" max="7" width="6.75" customWidth="1"/>
    <col min="8" max="8" width="5.375" bestFit="1" customWidth="1"/>
    <col min="9" max="9" width="9.875" bestFit="1" customWidth="1"/>
    <col min="10" max="10" width="6.75" style="11" customWidth="1"/>
    <col min="11" max="11" width="8.75" style="11" customWidth="1"/>
    <col min="12" max="12" width="17.75" customWidth="1"/>
    <col min="13" max="15" width="15.25" customWidth="1"/>
    <col min="16" max="16" width="14.25" customWidth="1"/>
    <col min="17" max="17" width="19.75" customWidth="1"/>
    <col min="18" max="18" width="14.875" customWidth="1"/>
    <col min="19" max="19" width="11.5" customWidth="1"/>
    <col min="20" max="20" width="29.125" customWidth="1"/>
    <col min="21" max="21" width="14" hidden="1" customWidth="1"/>
    <col min="22" max="22" width="9.375" hidden="1" customWidth="1"/>
    <col min="23" max="23" width="7.875" hidden="1" customWidth="1"/>
    <col min="24" max="24" width="11.375" hidden="1" customWidth="1"/>
    <col min="25" max="25" width="8.5" hidden="1" customWidth="1"/>
    <col min="26" max="26" width="9.875" hidden="1" customWidth="1"/>
    <col min="27" max="27" width="9.625" hidden="1" customWidth="1"/>
    <col min="28" max="28" width="22.125" customWidth="1"/>
    <col min="29" max="29" width="34.375" customWidth="1"/>
    <col min="30" max="30" width="8.25" hidden="1" customWidth="1"/>
    <col min="31" max="31" width="34.375" hidden="1" customWidth="1"/>
    <col min="32" max="32" width="9.625" hidden="1" customWidth="1"/>
    <col min="33" max="33" width="28.25" customWidth="1"/>
  </cols>
  <sheetData>
    <row r="1" spans="1:33" s="62" customFormat="1">
      <c r="A1" s="69"/>
      <c r="B1" s="70" t="s">
        <v>293</v>
      </c>
      <c r="C1" s="69"/>
      <c r="J1" s="71"/>
      <c r="K1" s="71"/>
    </row>
    <row r="2" spans="1:33" s="62" customFormat="1">
      <c r="A2" s="69"/>
      <c r="B2" s="47" t="s">
        <v>292</v>
      </c>
      <c r="C2" s="69"/>
      <c r="J2" s="71"/>
      <c r="K2" s="71">
        <f>VLOOKUP(G7,'WAS Domain'!$E$11:$I$25,5,0)</f>
        <v>1</v>
      </c>
      <c r="AB2" s="145" t="s">
        <v>667</v>
      </c>
    </row>
    <row r="3" spans="1:33">
      <c r="AB3" s="145" t="s">
        <v>668</v>
      </c>
    </row>
    <row r="4" spans="1:33">
      <c r="A4" s="209" t="s">
        <v>193</v>
      </c>
      <c r="B4" s="219" t="s">
        <v>190</v>
      </c>
      <c r="C4" s="209" t="s">
        <v>194</v>
      </c>
      <c r="D4" s="209" t="s">
        <v>195</v>
      </c>
      <c r="E4" s="209" t="s">
        <v>196</v>
      </c>
      <c r="F4" s="212" t="s">
        <v>493</v>
      </c>
      <c r="G4" s="213"/>
      <c r="H4" s="213"/>
      <c r="I4" s="214"/>
      <c r="J4" s="212" t="s">
        <v>567</v>
      </c>
      <c r="K4" s="213"/>
      <c r="L4" s="213"/>
      <c r="M4" s="213"/>
      <c r="N4" s="213"/>
      <c r="O4" s="213"/>
      <c r="P4" s="213"/>
      <c r="Q4" s="213"/>
      <c r="R4" s="213"/>
      <c r="S4" s="213"/>
      <c r="T4" s="213"/>
      <c r="U4" s="213"/>
      <c r="V4" s="213"/>
      <c r="W4" s="213"/>
      <c r="X4" s="213"/>
      <c r="Y4" s="213"/>
      <c r="Z4" s="213"/>
      <c r="AA4" s="213"/>
      <c r="AB4" s="213"/>
      <c r="AC4" s="214"/>
      <c r="AD4" s="216" t="s">
        <v>285</v>
      </c>
      <c r="AE4" s="217"/>
      <c r="AF4" s="218"/>
      <c r="AG4" s="209" t="s">
        <v>199</v>
      </c>
    </row>
    <row r="5" spans="1:33">
      <c r="A5" s="210"/>
      <c r="B5" s="210"/>
      <c r="C5" s="210"/>
      <c r="D5" s="210"/>
      <c r="E5" s="210"/>
      <c r="F5" s="212" t="s">
        <v>257</v>
      </c>
      <c r="G5" s="213"/>
      <c r="H5" s="213"/>
      <c r="I5" s="214"/>
      <c r="J5" s="215" t="s">
        <v>197</v>
      </c>
      <c r="K5" s="215"/>
      <c r="L5" s="215"/>
      <c r="M5" s="215"/>
      <c r="N5" s="215"/>
      <c r="O5" s="215"/>
      <c r="P5" s="215"/>
      <c r="Q5" s="215"/>
      <c r="R5" s="215"/>
      <c r="S5" s="215"/>
      <c r="T5" s="215"/>
      <c r="U5" s="215"/>
      <c r="V5" s="215" t="s">
        <v>198</v>
      </c>
      <c r="W5" s="215"/>
      <c r="X5" s="215"/>
      <c r="Y5" s="215"/>
      <c r="Z5" s="215"/>
      <c r="AA5" s="215" t="s">
        <v>191</v>
      </c>
      <c r="AB5" s="215"/>
      <c r="AC5" s="215"/>
      <c r="AD5" s="219" t="s">
        <v>16</v>
      </c>
      <c r="AE5" s="216" t="s">
        <v>286</v>
      </c>
      <c r="AF5" s="218"/>
      <c r="AG5" s="210"/>
    </row>
    <row r="6" spans="1:33">
      <c r="A6" s="211"/>
      <c r="B6" s="211"/>
      <c r="C6" s="211"/>
      <c r="D6" s="211"/>
      <c r="E6" s="211"/>
      <c r="F6" s="64" t="s">
        <v>200</v>
      </c>
      <c r="G6" s="48" t="s">
        <v>201</v>
      </c>
      <c r="H6" s="49" t="s">
        <v>214</v>
      </c>
      <c r="I6" s="48" t="s">
        <v>203</v>
      </c>
      <c r="J6" s="55" t="s">
        <v>202</v>
      </c>
      <c r="K6" s="55" t="s">
        <v>204</v>
      </c>
      <c r="L6" s="55" t="s">
        <v>205</v>
      </c>
      <c r="M6" s="151" t="s">
        <v>676</v>
      </c>
      <c r="N6" s="151" t="s">
        <v>677</v>
      </c>
      <c r="O6" s="55" t="s">
        <v>564</v>
      </c>
      <c r="P6" s="78" t="s">
        <v>563</v>
      </c>
      <c r="Q6" s="78" t="s">
        <v>565</v>
      </c>
      <c r="R6" s="78" t="s">
        <v>566</v>
      </c>
      <c r="S6" s="78" t="s">
        <v>562</v>
      </c>
      <c r="T6" s="55" t="s">
        <v>206</v>
      </c>
      <c r="U6" s="55" t="s">
        <v>207</v>
      </c>
      <c r="V6" s="55" t="s">
        <v>209</v>
      </c>
      <c r="W6" s="55" t="s">
        <v>210</v>
      </c>
      <c r="X6" s="55" t="s">
        <v>211</v>
      </c>
      <c r="Y6" s="55" t="s">
        <v>212</v>
      </c>
      <c r="Z6" s="55" t="s">
        <v>213</v>
      </c>
      <c r="AA6" s="49" t="s">
        <v>49</v>
      </c>
      <c r="AB6" s="55" t="s">
        <v>683</v>
      </c>
      <c r="AC6" s="55" t="s">
        <v>208</v>
      </c>
      <c r="AD6" s="220"/>
      <c r="AE6" s="63" t="s">
        <v>287</v>
      </c>
      <c r="AF6" s="63" t="s">
        <v>288</v>
      </c>
      <c r="AG6" s="211"/>
    </row>
    <row r="7" spans="1:33" s="66" customFormat="1" ht="16.5" customHeight="1">
      <c r="A7" s="8" t="s">
        <v>12</v>
      </c>
      <c r="B7" s="8" t="s">
        <v>679</v>
      </c>
      <c r="C7" s="8">
        <v>1</v>
      </c>
      <c r="D7" s="67" t="s">
        <v>494</v>
      </c>
      <c r="E7" s="67" t="str">
        <f t="shared" ref="E7:E13" si="0">CONCATENATE(A7,"flb","ap0",C7)</f>
        <v>pflbap01</v>
      </c>
      <c r="F7" s="9" t="s">
        <v>687</v>
      </c>
      <c r="G7" s="39" t="str">
        <f>VLOOKUP(F7,'Domain별 코드 체계'!$B$5:$J$29,7,0)</f>
        <v>SV11</v>
      </c>
      <c r="H7" s="67" t="s">
        <v>5</v>
      </c>
      <c r="I7" s="8" t="str">
        <f t="shared" ref="I7" si="1">CONCATENATE(UPPER(IF(A7="d","P",A7)),"-",G7,"-",H7)</f>
        <v>P-SV11-O</v>
      </c>
      <c r="J7" s="8" t="s">
        <v>291</v>
      </c>
      <c r="K7" s="81">
        <v>1</v>
      </c>
      <c r="L7" s="72" t="str">
        <f t="shared" ref="L7" si="2">CONCATENATE(I7,"-",J7,C7,K7)</f>
        <v>P-SV11-O-F11</v>
      </c>
      <c r="M7" s="74" t="str">
        <f>IF(J7="S",9, "8")&amp;VLOOKUP(G7,'WAS Domain'!$E$11:$I$25,3,0)&amp;VLOOKUP(G7,'WAS Domain'!$E$11:$I$25,4,0)&amp;VLOOKUP(G7,'WAS Domain'!$E$11:$I$25,5,0)</f>
        <v>8111</v>
      </c>
      <c r="N7" s="74">
        <f>M7+443</f>
        <v>8554</v>
      </c>
      <c r="O7" s="74" t="str">
        <f>VLOOKUP(G7,'WAS Domain'!$E$11:$I$25,2,0)&amp;VLOOKUP(G7,'WAS Domain'!$E$11:$I$25,3,0)&amp;VLOOKUP(G7,'WAS Domain'!$E$11:$I$25,4,0)&amp;VLOOKUP(G7,'WAS Domain'!$E$11:$I$25,5,0)&amp;IF(J7="A",0,IF(J7="F",K7,IF(LEFT(G7,3)="FWM",K7,9)))</f>
        <v>11111</v>
      </c>
      <c r="P7" s="73">
        <f>S7+8009</f>
        <v>11040</v>
      </c>
      <c r="Q7" s="73">
        <f>S7+9990</f>
        <v>13021</v>
      </c>
      <c r="R7" s="73">
        <f>S7+9999</f>
        <v>13030</v>
      </c>
      <c r="S7" s="73">
        <f>O7-8080</f>
        <v>3031</v>
      </c>
      <c r="T7" s="72" t="s">
        <v>495</v>
      </c>
      <c r="U7" s="72" t="str">
        <f t="shared" ref="U7" si="3">IF(J7="A","",CONCATENATE(I7,"-A11"))</f>
        <v>P-SV11-O-A11</v>
      </c>
      <c r="V7" s="72">
        <f t="shared" ref="V7" si="4">IF(J7="A",512,IF(J7="F",2048,IF(J7="S",1024)))</f>
        <v>2048</v>
      </c>
      <c r="W7" s="72">
        <f t="shared" ref="W7" si="5">IF(J7="A","",IF(J7="F",(V7/16)*6,IF(J7="S",V7/4)))</f>
        <v>768</v>
      </c>
      <c r="X7" s="72">
        <f t="shared" ref="X7" si="6">W7</f>
        <v>768</v>
      </c>
      <c r="Y7" s="72">
        <f t="shared" ref="Y7" si="7">IF(J7="A","",IF(J7="F",(V7/16)*4,IF(J7="S",V7/4)))</f>
        <v>512</v>
      </c>
      <c r="Z7" s="72">
        <f t="shared" ref="Z7" si="8">Y7</f>
        <v>512</v>
      </c>
      <c r="AA7" s="81" t="s">
        <v>215</v>
      </c>
      <c r="AB7" s="72" t="str">
        <f t="shared" ref="AB7:AB70" si="9">IF(J7="S",CONCATENATE("/",LOWER(B7),"/",LOWER(LEFT(G7,4)),"/wasAdminApp"),CONCATENATE("/",LOWER(B7),"/",LOWER(LEFT(G7,4)),"/wasApp"))</f>
        <v>/sv1/sv11/wasApp</v>
      </c>
      <c r="AC7" s="72" t="str">
        <f>CONCATENATE("/log/jboss7/",I7,"/",L7)</f>
        <v>/log/jboss7/P-SV11-O/P-SV11-O-F11</v>
      </c>
      <c r="AD7" s="81" t="s">
        <v>289</v>
      </c>
      <c r="AE7" s="16" t="s">
        <v>290</v>
      </c>
      <c r="AF7" s="16">
        <v>9998</v>
      </c>
      <c r="AG7" s="72"/>
    </row>
    <row r="8" spans="1:33" s="66" customFormat="1" ht="16.5" customHeight="1">
      <c r="A8" s="8" t="s">
        <v>43</v>
      </c>
      <c r="B8" s="8" t="s">
        <v>679</v>
      </c>
      <c r="C8" s="8">
        <v>1</v>
      </c>
      <c r="D8" s="67" t="s">
        <v>494</v>
      </c>
      <c r="E8" s="67" t="str">
        <f t="shared" si="0"/>
        <v>pflbap01</v>
      </c>
      <c r="F8" s="9" t="s">
        <v>687</v>
      </c>
      <c r="G8" s="39" t="str">
        <f>VLOOKUP(F8,'Domain별 코드 체계'!$B$5:$J$29,7,0)</f>
        <v>SV11</v>
      </c>
      <c r="H8" s="67" t="s">
        <v>5</v>
      </c>
      <c r="I8" s="8" t="str">
        <f t="shared" ref="I8:I10" si="10">CONCATENATE(UPPER(IF(A8="d","P",A8)),"-",G8,"-",H8)</f>
        <v>P-SV11-O</v>
      </c>
      <c r="J8" s="8" t="s">
        <v>291</v>
      </c>
      <c r="K8" s="15">
        <v>2</v>
      </c>
      <c r="L8" s="72" t="str">
        <f t="shared" ref="L8:L10" si="11">CONCATENATE(I8,"-",J8,C8,K8)</f>
        <v>P-SV11-O-F12</v>
      </c>
      <c r="M8" s="152" t="str">
        <f>IF(J8="S",9, "8")&amp;VLOOKUP(G8,'WAS Domain'!$E$11:$I$25,3,0)&amp;VLOOKUP(G8,'WAS Domain'!$E$11:$I$25,4,0)&amp;VLOOKUP(G8,'WAS Domain'!$E$11:$I$25,5,0)</f>
        <v>8111</v>
      </c>
      <c r="N8" s="74">
        <f t="shared" ref="N8:N71" si="12">M8+443</f>
        <v>8554</v>
      </c>
      <c r="O8" s="74" t="str">
        <f>VLOOKUP(G8,'WAS Domain'!$E$11:$I$25,2,0)&amp;VLOOKUP(G8,'WAS Domain'!$E$11:$I$25,3,0)&amp;VLOOKUP(G8,'WAS Domain'!$E$11:$I$25,4,0)&amp;VLOOKUP(G8,'WAS Domain'!$E$11:$I$25,5,0)&amp;IF(J8="A",0,IF(J8="F",K8,IF(LEFT(G8,3)="FWM",K8,9)))</f>
        <v>11112</v>
      </c>
      <c r="P8" s="73">
        <f t="shared" ref="P8:P16" si="13">S8+8009</f>
        <v>11041</v>
      </c>
      <c r="Q8" s="73">
        <f t="shared" ref="Q8:Q16" si="14">S8+9990</f>
        <v>13022</v>
      </c>
      <c r="R8" s="73">
        <f t="shared" ref="R8:R69" si="15">S8+9999</f>
        <v>13031</v>
      </c>
      <c r="S8" s="73">
        <f t="shared" ref="S8:S16" si="16">O8-8080</f>
        <v>3032</v>
      </c>
      <c r="T8" s="72" t="s">
        <v>495</v>
      </c>
      <c r="U8" s="72" t="str">
        <f t="shared" ref="U8:U10" si="17">IF(J8="A","",CONCATENATE(I8,"-A11"))</f>
        <v>P-SV11-O-A11</v>
      </c>
      <c r="V8" s="72">
        <f t="shared" ref="V8:V10" si="18">IF(J8="A",512,IF(J8="F",2048,IF(J8="S",1024)))</f>
        <v>2048</v>
      </c>
      <c r="W8" s="72">
        <f t="shared" ref="W8:W10" si="19">IF(J8="A","",IF(J8="F",(V8/16)*6,IF(J8="S",V8/4)))</f>
        <v>768</v>
      </c>
      <c r="X8" s="72">
        <f t="shared" ref="X8:X10" si="20">W8</f>
        <v>768</v>
      </c>
      <c r="Y8" s="72">
        <f t="shared" ref="Y8:Y10" si="21">IF(J8="A","",IF(J8="F",(V8/16)*4,IF(J8="S",V8/4)))</f>
        <v>512</v>
      </c>
      <c r="Z8" s="72">
        <f t="shared" ref="Z8:Z10" si="22">Y8</f>
        <v>512</v>
      </c>
      <c r="AA8" s="15" t="s">
        <v>215</v>
      </c>
      <c r="AB8" s="72" t="str">
        <f t="shared" si="9"/>
        <v>/sv1/sv11/wasApp</v>
      </c>
      <c r="AC8" s="72" t="str">
        <f t="shared" ref="AC8:AC11" si="23">CONCATENATE("/log/jboss7/",I8,"/",L8)</f>
        <v>/log/jboss7/P-SV11-O/P-SV11-O-F12</v>
      </c>
      <c r="AD8" s="15" t="s">
        <v>289</v>
      </c>
      <c r="AE8" s="16" t="s">
        <v>290</v>
      </c>
      <c r="AF8" s="16">
        <v>9998</v>
      </c>
      <c r="AG8" s="72"/>
    </row>
    <row r="9" spans="1:33" s="66" customFormat="1" ht="16.5" customHeight="1">
      <c r="A9" s="8" t="s">
        <v>43</v>
      </c>
      <c r="B9" s="8" t="s">
        <v>679</v>
      </c>
      <c r="C9" s="8">
        <v>1</v>
      </c>
      <c r="D9" s="67" t="s">
        <v>494</v>
      </c>
      <c r="E9" s="67" t="str">
        <f t="shared" si="0"/>
        <v>pflbap01</v>
      </c>
      <c r="F9" s="9" t="s">
        <v>686</v>
      </c>
      <c r="G9" s="39" t="str">
        <f>VLOOKUP(F9,'Domain별 코드 체계'!$B$5:$J$29,7,0)</f>
        <v>SV12</v>
      </c>
      <c r="H9" s="67" t="s">
        <v>5</v>
      </c>
      <c r="I9" s="8" t="str">
        <f t="shared" si="10"/>
        <v>P-SV12-O</v>
      </c>
      <c r="J9" s="8" t="s">
        <v>662</v>
      </c>
      <c r="K9" s="15">
        <v>1</v>
      </c>
      <c r="L9" s="72" t="str">
        <f t="shared" si="11"/>
        <v>P-SV12-O-S11</v>
      </c>
      <c r="M9" s="74" t="str">
        <f>IF(J9="S",9, "8")&amp;VLOOKUP(G9,'WAS Domain'!$E$11:$I$25,3,0)&amp;VLOOKUP(G9,'WAS Domain'!$E$11:$I$25,4,0)&amp;VLOOKUP(G9,'WAS Domain'!$E$11:$I$25,5,0)</f>
        <v>9112</v>
      </c>
      <c r="N9" s="74">
        <f t="shared" si="12"/>
        <v>9555</v>
      </c>
      <c r="O9" s="74" t="str">
        <f>VLOOKUP(G9,'WAS Domain'!$E$11:$I$25,2,0)&amp;VLOOKUP(G9,'WAS Domain'!$E$11:$I$25,3,0)&amp;VLOOKUP(G9,'WAS Domain'!$E$11:$I$25,4,0)&amp;VLOOKUP(G9,'WAS Domain'!$E$11:$I$25,5,0)&amp;IF(J9="A",0,IF(J9="F",K9,IF(LEFT(G9,3)="FWM",K9,9)))</f>
        <v>11129</v>
      </c>
      <c r="P9" s="73">
        <f t="shared" si="13"/>
        <v>11058</v>
      </c>
      <c r="Q9" s="73">
        <f t="shared" si="14"/>
        <v>13039</v>
      </c>
      <c r="R9" s="73">
        <f t="shared" si="15"/>
        <v>13048</v>
      </c>
      <c r="S9" s="73">
        <f t="shared" si="16"/>
        <v>3049</v>
      </c>
      <c r="T9" s="72" t="s">
        <v>497</v>
      </c>
      <c r="U9" s="72" t="str">
        <f t="shared" si="17"/>
        <v>P-SV12-O-A11</v>
      </c>
      <c r="V9" s="72">
        <f t="shared" si="18"/>
        <v>1024</v>
      </c>
      <c r="W9" s="72">
        <f t="shared" si="19"/>
        <v>256</v>
      </c>
      <c r="X9" s="72">
        <f t="shared" si="20"/>
        <v>256</v>
      </c>
      <c r="Y9" s="72">
        <f t="shared" si="21"/>
        <v>256</v>
      </c>
      <c r="Z9" s="72">
        <f t="shared" si="22"/>
        <v>256</v>
      </c>
      <c r="AA9" s="15" t="s">
        <v>215</v>
      </c>
      <c r="AB9" s="72" t="str">
        <f t="shared" si="9"/>
        <v>/sv1/sv12/wasAdminApp</v>
      </c>
      <c r="AC9" s="72" t="str">
        <f t="shared" si="23"/>
        <v>/log/jboss7/P-SV12-O/P-SV12-O-S11</v>
      </c>
      <c r="AD9" s="15" t="s">
        <v>289</v>
      </c>
      <c r="AE9" s="16" t="s">
        <v>290</v>
      </c>
      <c r="AF9" s="16">
        <v>9998</v>
      </c>
      <c r="AG9" s="72"/>
    </row>
    <row r="10" spans="1:33" s="66" customFormat="1" ht="16.5" customHeight="1">
      <c r="A10" s="8" t="s">
        <v>12</v>
      </c>
      <c r="B10" s="8" t="s">
        <v>679</v>
      </c>
      <c r="C10" s="8">
        <v>1</v>
      </c>
      <c r="D10" s="67" t="s">
        <v>494</v>
      </c>
      <c r="E10" s="67" t="str">
        <f t="shared" si="0"/>
        <v>pflbap01</v>
      </c>
      <c r="F10" s="9" t="s">
        <v>689</v>
      </c>
      <c r="G10" s="39" t="str">
        <f>VLOOKUP(F10,'Domain별 코드 체계'!$B$5:$J$29,7,0)</f>
        <v>SV13</v>
      </c>
      <c r="H10" s="67" t="s">
        <v>5</v>
      </c>
      <c r="I10" s="8" t="str">
        <f t="shared" si="10"/>
        <v>P-SV13-O</v>
      </c>
      <c r="J10" s="8" t="s">
        <v>291</v>
      </c>
      <c r="K10" s="15">
        <v>1</v>
      </c>
      <c r="L10" s="72" t="str">
        <f t="shared" si="11"/>
        <v>P-SV13-O-F11</v>
      </c>
      <c r="M10" s="74" t="str">
        <f>IF(J10="S",9, "8")&amp;VLOOKUP(G10,'WAS Domain'!$E$11:$I$25,3,0)&amp;VLOOKUP(G10,'WAS Domain'!$E$11:$I$25,4,0)&amp;VLOOKUP(G10,'WAS Domain'!$E$11:$I$25,5,0)</f>
        <v>8113</v>
      </c>
      <c r="N10" s="74">
        <f t="shared" si="12"/>
        <v>8556</v>
      </c>
      <c r="O10" s="74" t="str">
        <f>VLOOKUP(G10,'WAS Domain'!$E$11:$I$25,2,0)&amp;VLOOKUP(G10,'WAS Domain'!$E$11:$I$25,3,0)&amp;VLOOKUP(G10,'WAS Domain'!$E$11:$I$25,4,0)&amp;VLOOKUP(G10,'WAS Domain'!$E$11:$I$25,5,0)&amp;IF(J10="A",0,IF(J10="F",K10,IF(LEFT(G10,3)="FWM",K10,9)))</f>
        <v>11131</v>
      </c>
      <c r="P10" s="73">
        <f t="shared" si="13"/>
        <v>11060</v>
      </c>
      <c r="Q10" s="73">
        <f t="shared" si="14"/>
        <v>13041</v>
      </c>
      <c r="R10" s="73">
        <f t="shared" si="15"/>
        <v>13050</v>
      </c>
      <c r="S10" s="73">
        <f t="shared" si="16"/>
        <v>3051</v>
      </c>
      <c r="T10" s="72" t="s">
        <v>498</v>
      </c>
      <c r="U10" s="72" t="str">
        <f t="shared" si="17"/>
        <v>P-SV13-O-A11</v>
      </c>
      <c r="V10" s="72">
        <f t="shared" si="18"/>
        <v>2048</v>
      </c>
      <c r="W10" s="72">
        <f t="shared" si="19"/>
        <v>768</v>
      </c>
      <c r="X10" s="72">
        <f t="shared" si="20"/>
        <v>768</v>
      </c>
      <c r="Y10" s="72">
        <f t="shared" si="21"/>
        <v>512</v>
      </c>
      <c r="Z10" s="72">
        <f t="shared" si="22"/>
        <v>512</v>
      </c>
      <c r="AA10" s="15" t="s">
        <v>192</v>
      </c>
      <c r="AB10" s="72" t="str">
        <f t="shared" si="9"/>
        <v>/sv1/sv13/wasApp</v>
      </c>
      <c r="AC10" s="72" t="str">
        <f t="shared" si="23"/>
        <v>/log/jboss7/P-SV13-O/P-SV13-O-F11</v>
      </c>
      <c r="AD10" s="15" t="s">
        <v>289</v>
      </c>
      <c r="AE10" s="16" t="s">
        <v>290</v>
      </c>
      <c r="AF10" s="16">
        <v>9998</v>
      </c>
      <c r="AG10" s="72"/>
    </row>
    <row r="11" spans="1:33" s="66" customFormat="1" ht="16.5" customHeight="1" thickBot="1">
      <c r="A11" s="91" t="s">
        <v>12</v>
      </c>
      <c r="B11" s="8" t="s">
        <v>679</v>
      </c>
      <c r="C11" s="91">
        <v>1</v>
      </c>
      <c r="D11" s="92" t="s">
        <v>494</v>
      </c>
      <c r="E11" s="67" t="str">
        <f t="shared" si="0"/>
        <v>pflbap01</v>
      </c>
      <c r="F11" s="89" t="s">
        <v>692</v>
      </c>
      <c r="G11" s="93" t="str">
        <f>VLOOKUP(F11,'Domain별 코드 체계'!$B$5:$J$29,7,0)</f>
        <v>SV14</v>
      </c>
      <c r="H11" s="92" t="s">
        <v>660</v>
      </c>
      <c r="I11" s="91" t="str">
        <f t="shared" ref="I11:I15" si="24">CONCATENATE(UPPER(IF(A11="d","P",A11)),"-",G11,"-",H11)</f>
        <v>P-SV14-O</v>
      </c>
      <c r="J11" s="91" t="s">
        <v>524</v>
      </c>
      <c r="K11" s="94">
        <v>1</v>
      </c>
      <c r="L11" s="95" t="str">
        <f t="shared" ref="L11:L15" si="25">CONCATENATE(I11,"-",J11,C11,K11)</f>
        <v>P-SV14-O-S11</v>
      </c>
      <c r="M11" s="74" t="str">
        <f>IF(J11="S",9, "8")&amp;VLOOKUP(G11,'WAS Domain'!$E$11:$I$25,3,0)&amp;VLOOKUP(G11,'WAS Domain'!$E$11:$I$25,4,0)&amp;VLOOKUP(G11,'WAS Domain'!$E$11:$I$25,5,0)</f>
        <v>9114</v>
      </c>
      <c r="N11" s="74">
        <f t="shared" si="12"/>
        <v>9557</v>
      </c>
      <c r="O11" s="131" t="str">
        <f>VLOOKUP(G11,'WAS Domain'!$E$11:$I$25,2,0)&amp;VLOOKUP(G11,'WAS Domain'!$E$11:$I$25,3,0)&amp;VLOOKUP(G11,'WAS Domain'!$E$11:$I$25,4,0)&amp;VLOOKUP(G11,'WAS Domain'!$E$11:$I$25,5,0)&amp;IF(J11="A",0,IF(J11="F",K11,IF(LEFT(G11,3)="FWM",K11,9)))</f>
        <v>11149</v>
      </c>
      <c r="P11" s="96">
        <f t="shared" si="13"/>
        <v>11078</v>
      </c>
      <c r="Q11" s="96">
        <f t="shared" si="14"/>
        <v>13059</v>
      </c>
      <c r="R11" s="96">
        <f t="shared" si="15"/>
        <v>13068</v>
      </c>
      <c r="S11" s="96">
        <f t="shared" si="16"/>
        <v>3069</v>
      </c>
      <c r="T11" s="95" t="s">
        <v>499</v>
      </c>
      <c r="U11" s="95" t="str">
        <f t="shared" ref="U11:U15" si="26">IF(J11="A","",CONCATENATE(I11,"-A11"))</f>
        <v>P-SV14-O-A11</v>
      </c>
      <c r="V11" s="95">
        <f t="shared" ref="V11:V15" si="27">IF(J11="A",512,IF(J11="F",2048,IF(J11="S",1024)))</f>
        <v>1024</v>
      </c>
      <c r="W11" s="95">
        <f t="shared" ref="W11:W15" si="28">IF(J11="A","",IF(J11="F",(V11/16)*6,IF(J11="S",V11/4)))</f>
        <v>256</v>
      </c>
      <c r="X11" s="95">
        <f t="shared" ref="X11:X15" si="29">W11</f>
        <v>256</v>
      </c>
      <c r="Y11" s="95">
        <f t="shared" ref="Y11:Y15" si="30">IF(J11="A","",IF(J11="F",(V11/16)*4,IF(J11="S",V11/4)))</f>
        <v>256</v>
      </c>
      <c r="Z11" s="95">
        <f t="shared" ref="Z11:Z15" si="31">Y11</f>
        <v>256</v>
      </c>
      <c r="AA11" s="94" t="s">
        <v>215</v>
      </c>
      <c r="AB11" s="72" t="str">
        <f t="shared" si="9"/>
        <v>/sv1/sv14/wasAdminApp</v>
      </c>
      <c r="AC11" s="95" t="str">
        <f t="shared" si="23"/>
        <v>/log/jboss7/P-SV14-O/P-SV14-O-S11</v>
      </c>
      <c r="AD11" s="94" t="s">
        <v>289</v>
      </c>
      <c r="AE11" s="97" t="s">
        <v>290</v>
      </c>
      <c r="AF11" s="97">
        <v>9998</v>
      </c>
      <c r="AG11" s="95"/>
    </row>
    <row r="12" spans="1:33" s="66" customFormat="1" ht="16.5" customHeight="1">
      <c r="A12" s="104" t="s">
        <v>12</v>
      </c>
      <c r="B12" s="8" t="s">
        <v>679</v>
      </c>
      <c r="C12" s="105">
        <v>2</v>
      </c>
      <c r="D12" s="106" t="s">
        <v>502</v>
      </c>
      <c r="E12" s="106" t="str">
        <f t="shared" si="0"/>
        <v>pflbap02</v>
      </c>
      <c r="F12" s="107" t="s">
        <v>687</v>
      </c>
      <c r="G12" s="108" t="str">
        <f>VLOOKUP(F12,'Domain별 코드 체계'!$B$5:$J$29,7,0)</f>
        <v>SV11</v>
      </c>
      <c r="H12" s="106" t="s">
        <v>5</v>
      </c>
      <c r="I12" s="105" t="str">
        <f t="shared" si="24"/>
        <v>P-SV11-O</v>
      </c>
      <c r="J12" s="105" t="s">
        <v>291</v>
      </c>
      <c r="K12" s="105">
        <v>1</v>
      </c>
      <c r="L12" s="106" t="str">
        <f t="shared" si="25"/>
        <v>P-SV11-O-F21</v>
      </c>
      <c r="M12" s="74" t="str">
        <f>IF(J12="S",9, "8")&amp;VLOOKUP(G12,'WAS Domain'!$E$11:$I$25,3,0)&amp;VLOOKUP(G12,'WAS Domain'!$E$11:$I$25,4,0)&amp;VLOOKUP(G12,'WAS Domain'!$E$11:$I$25,5,0)</f>
        <v>8111</v>
      </c>
      <c r="N12" s="74">
        <f t="shared" si="12"/>
        <v>8554</v>
      </c>
      <c r="O12" s="150" t="str">
        <f>VLOOKUP(G12,'WAS Domain'!$E$11:$I$25,2,0)&amp;VLOOKUP(G12,'WAS Domain'!$E$11:$I$25,3,0)&amp;VLOOKUP(G12,'WAS Domain'!$E$11:$I$25,4,0)&amp;VLOOKUP(G12,'WAS Domain'!$E$11:$I$25,5,0)&amp;IF(J12="A",0,IF(J12="F",K12,IF(LEFT(G12,3)="FWM",K12,9)))</f>
        <v>11111</v>
      </c>
      <c r="P12" s="126">
        <f t="shared" si="13"/>
        <v>11040</v>
      </c>
      <c r="Q12" s="126">
        <f t="shared" si="14"/>
        <v>13021</v>
      </c>
      <c r="R12" s="126">
        <f t="shared" si="15"/>
        <v>13030</v>
      </c>
      <c r="S12" s="126">
        <f t="shared" si="16"/>
        <v>3031</v>
      </c>
      <c r="T12" s="106" t="s">
        <v>495</v>
      </c>
      <c r="U12" s="106" t="str">
        <f t="shared" si="26"/>
        <v>P-SV11-O-A11</v>
      </c>
      <c r="V12" s="106">
        <f t="shared" si="27"/>
        <v>2048</v>
      </c>
      <c r="W12" s="106">
        <f t="shared" si="28"/>
        <v>768</v>
      </c>
      <c r="X12" s="106">
        <f t="shared" si="29"/>
        <v>768</v>
      </c>
      <c r="Y12" s="106">
        <f t="shared" si="30"/>
        <v>512</v>
      </c>
      <c r="Z12" s="106">
        <f t="shared" si="31"/>
        <v>512</v>
      </c>
      <c r="AA12" s="105" t="s">
        <v>215</v>
      </c>
      <c r="AB12" s="72" t="str">
        <f t="shared" si="9"/>
        <v>/sv1/sv11/wasApp</v>
      </c>
      <c r="AC12" s="106" t="str">
        <f>CONCATENATE("/log/jboss7/",I12,"/",L12)</f>
        <v>/log/jboss7/P-SV11-O/P-SV11-O-F21</v>
      </c>
      <c r="AD12" s="105" t="s">
        <v>289</v>
      </c>
      <c r="AE12" s="127" t="s">
        <v>290</v>
      </c>
      <c r="AF12" s="127">
        <v>9998</v>
      </c>
      <c r="AG12" s="128"/>
    </row>
    <row r="13" spans="1:33" s="66" customFormat="1" ht="16.5" customHeight="1">
      <c r="A13" s="114" t="s">
        <v>12</v>
      </c>
      <c r="B13" s="8" t="s">
        <v>679</v>
      </c>
      <c r="C13" s="8">
        <v>2</v>
      </c>
      <c r="D13" s="67" t="s">
        <v>502</v>
      </c>
      <c r="E13" s="67" t="str">
        <f t="shared" si="0"/>
        <v>pflbap02</v>
      </c>
      <c r="F13" s="9" t="s">
        <v>687</v>
      </c>
      <c r="G13" s="39" t="str">
        <f>VLOOKUP(F13,'Domain별 코드 체계'!$B$5:$J$29,7,0)</f>
        <v>SV11</v>
      </c>
      <c r="H13" s="67" t="s">
        <v>5</v>
      </c>
      <c r="I13" s="8" t="str">
        <f t="shared" si="24"/>
        <v>P-SV11-O</v>
      </c>
      <c r="J13" s="8" t="s">
        <v>291</v>
      </c>
      <c r="K13" s="8">
        <v>2</v>
      </c>
      <c r="L13" s="67" t="str">
        <f t="shared" si="25"/>
        <v>P-SV11-O-F22</v>
      </c>
      <c r="M13" s="152" t="str">
        <f>IF(J13="S",9, "8")&amp;VLOOKUP(G13,'WAS Domain'!$E$11:$I$25,3,0)&amp;VLOOKUP(G13,'WAS Domain'!$E$11:$I$25,4,0)&amp;VLOOKUP(G13,'WAS Domain'!$E$11:$I$25,5,0)</f>
        <v>8111</v>
      </c>
      <c r="N13" s="74">
        <f t="shared" si="12"/>
        <v>8554</v>
      </c>
      <c r="O13" s="74" t="str">
        <f>VLOOKUP(G13,'WAS Domain'!$E$11:$I$25,2,0)&amp;VLOOKUP(G13,'WAS Domain'!$E$11:$I$25,3,0)&amp;VLOOKUP(G13,'WAS Domain'!$E$11:$I$25,4,0)&amp;VLOOKUP(G13,'WAS Domain'!$E$11:$I$25,5,0)&amp;IF(J13="A",0,IF(J13="F",K13,IF(LEFT(G13,3)="FWM",K13,9)))</f>
        <v>11112</v>
      </c>
      <c r="P13" s="74">
        <f t="shared" si="13"/>
        <v>11041</v>
      </c>
      <c r="Q13" s="74">
        <f t="shared" si="14"/>
        <v>13022</v>
      </c>
      <c r="R13" s="74">
        <f t="shared" si="15"/>
        <v>13031</v>
      </c>
      <c r="S13" s="74">
        <f t="shared" si="16"/>
        <v>3032</v>
      </c>
      <c r="T13" s="67" t="s">
        <v>495</v>
      </c>
      <c r="U13" s="67" t="str">
        <f t="shared" si="26"/>
        <v>P-SV11-O-A11</v>
      </c>
      <c r="V13" s="67">
        <f t="shared" si="27"/>
        <v>2048</v>
      </c>
      <c r="W13" s="67">
        <f t="shared" si="28"/>
        <v>768</v>
      </c>
      <c r="X13" s="67">
        <f t="shared" si="29"/>
        <v>768</v>
      </c>
      <c r="Y13" s="67">
        <f t="shared" si="30"/>
        <v>512</v>
      </c>
      <c r="Z13" s="67">
        <f t="shared" si="31"/>
        <v>512</v>
      </c>
      <c r="AA13" s="8" t="s">
        <v>215</v>
      </c>
      <c r="AB13" s="72" t="str">
        <f t="shared" si="9"/>
        <v>/sv1/sv11/wasApp</v>
      </c>
      <c r="AC13" s="67" t="str">
        <f t="shared" ref="AC13:AC16" si="32">CONCATENATE("/log/jboss7/",I13,"/",L13)</f>
        <v>/log/jboss7/P-SV11-O/P-SV11-O-F22</v>
      </c>
      <c r="AD13" s="8" t="s">
        <v>289</v>
      </c>
      <c r="AE13" s="129" t="s">
        <v>290</v>
      </c>
      <c r="AF13" s="129">
        <v>9998</v>
      </c>
      <c r="AG13" s="130"/>
    </row>
    <row r="14" spans="1:33" s="66" customFormat="1" ht="16.5" customHeight="1">
      <c r="A14" s="114" t="s">
        <v>12</v>
      </c>
      <c r="B14" s="8" t="s">
        <v>679</v>
      </c>
      <c r="C14" s="8">
        <v>2</v>
      </c>
      <c r="D14" s="67" t="s">
        <v>502</v>
      </c>
      <c r="E14" s="67" t="str">
        <f t="shared" ref="E14:E15" si="33">CONCATENATE(A14,"sfb","ap0",C14)</f>
        <v>psfbap02</v>
      </c>
      <c r="F14" s="9" t="s">
        <v>684</v>
      </c>
      <c r="G14" s="39" t="str">
        <f>VLOOKUP(F14,'Domain별 코드 체계'!$B$5:$J$29,7,0)</f>
        <v>SV12</v>
      </c>
      <c r="H14" s="67" t="s">
        <v>5</v>
      </c>
      <c r="I14" s="8" t="str">
        <f t="shared" si="24"/>
        <v>P-SV12-O</v>
      </c>
      <c r="J14" s="8" t="s">
        <v>662</v>
      </c>
      <c r="K14" s="8">
        <v>1</v>
      </c>
      <c r="L14" s="67" t="str">
        <f t="shared" si="25"/>
        <v>P-SV12-O-S21</v>
      </c>
      <c r="M14" s="74" t="str">
        <f>IF(J14="S",9, "8")&amp;VLOOKUP(G14,'WAS Domain'!$E$11:$I$25,3,0)&amp;VLOOKUP(G14,'WAS Domain'!$E$11:$I$25,4,0)&amp;VLOOKUP(G14,'WAS Domain'!$E$11:$I$25,5,0)</f>
        <v>9112</v>
      </c>
      <c r="N14" s="74">
        <f t="shared" si="12"/>
        <v>9555</v>
      </c>
      <c r="O14" s="74" t="str">
        <f>VLOOKUP(G14,'WAS Domain'!$E$11:$I$25,2,0)&amp;VLOOKUP(G14,'WAS Domain'!$E$11:$I$25,3,0)&amp;VLOOKUP(G14,'WAS Domain'!$E$11:$I$25,4,0)&amp;VLOOKUP(G14,'WAS Domain'!$E$11:$I$25,5,0)&amp;IF(J14="A",0,IF(J14="F",K14,IF(LEFT(G14,3)="FWM",K14,9)))</f>
        <v>11129</v>
      </c>
      <c r="P14" s="74">
        <f t="shared" si="13"/>
        <v>11058</v>
      </c>
      <c r="Q14" s="74">
        <f t="shared" si="14"/>
        <v>13039</v>
      </c>
      <c r="R14" s="74">
        <f t="shared" si="15"/>
        <v>13048</v>
      </c>
      <c r="S14" s="74">
        <f t="shared" si="16"/>
        <v>3049</v>
      </c>
      <c r="T14" s="67" t="s">
        <v>497</v>
      </c>
      <c r="U14" s="67" t="str">
        <f t="shared" si="26"/>
        <v>P-SV12-O-A11</v>
      </c>
      <c r="V14" s="67">
        <f t="shared" si="27"/>
        <v>1024</v>
      </c>
      <c r="W14" s="67">
        <f t="shared" si="28"/>
        <v>256</v>
      </c>
      <c r="X14" s="67">
        <f t="shared" si="29"/>
        <v>256</v>
      </c>
      <c r="Y14" s="67">
        <f t="shared" si="30"/>
        <v>256</v>
      </c>
      <c r="Z14" s="67">
        <f t="shared" si="31"/>
        <v>256</v>
      </c>
      <c r="AA14" s="8" t="s">
        <v>215</v>
      </c>
      <c r="AB14" s="72" t="str">
        <f t="shared" si="9"/>
        <v>/sv1/sv12/wasAdminApp</v>
      </c>
      <c r="AC14" s="67" t="str">
        <f t="shared" si="32"/>
        <v>/log/jboss7/P-SV12-O/P-SV12-O-S21</v>
      </c>
      <c r="AD14" s="8" t="s">
        <v>289</v>
      </c>
      <c r="AE14" s="129" t="s">
        <v>290</v>
      </c>
      <c r="AF14" s="129">
        <v>9998</v>
      </c>
      <c r="AG14" s="130"/>
    </row>
    <row r="15" spans="1:33" s="66" customFormat="1" ht="16.5" customHeight="1">
      <c r="A15" s="114" t="s">
        <v>12</v>
      </c>
      <c r="B15" s="8" t="s">
        <v>679</v>
      </c>
      <c r="C15" s="8">
        <v>2</v>
      </c>
      <c r="D15" s="67" t="s">
        <v>502</v>
      </c>
      <c r="E15" s="67" t="str">
        <f t="shared" si="33"/>
        <v>psfbap02</v>
      </c>
      <c r="F15" s="9" t="s">
        <v>691</v>
      </c>
      <c r="G15" s="39" t="str">
        <f>VLOOKUP(F15,'Domain별 코드 체계'!$B$5:$J$29,7,0)</f>
        <v>SV13</v>
      </c>
      <c r="H15" s="67" t="s">
        <v>5</v>
      </c>
      <c r="I15" s="8" t="str">
        <f t="shared" si="24"/>
        <v>P-SV13-O</v>
      </c>
      <c r="J15" s="8" t="s">
        <v>291</v>
      </c>
      <c r="K15" s="8">
        <v>1</v>
      </c>
      <c r="L15" s="67" t="str">
        <f t="shared" si="25"/>
        <v>P-SV13-O-F21</v>
      </c>
      <c r="M15" s="74" t="str">
        <f>IF(J15="S",9, "8")&amp;VLOOKUP(G15,'WAS Domain'!$E$11:$I$25,3,0)&amp;VLOOKUP(G15,'WAS Domain'!$E$11:$I$25,4,0)&amp;VLOOKUP(G15,'WAS Domain'!$E$11:$I$25,5,0)</f>
        <v>8113</v>
      </c>
      <c r="N15" s="74">
        <f t="shared" si="12"/>
        <v>8556</v>
      </c>
      <c r="O15" s="74" t="str">
        <f>VLOOKUP(G15,'WAS Domain'!$E$11:$I$25,2,0)&amp;VLOOKUP(G15,'WAS Domain'!$E$11:$I$25,3,0)&amp;VLOOKUP(G15,'WAS Domain'!$E$11:$I$25,4,0)&amp;VLOOKUP(G15,'WAS Domain'!$E$11:$I$25,5,0)&amp;IF(J15="A",0,IF(J15="F",K15,IF(LEFT(G15,3)="FWM",K15,9)))</f>
        <v>11131</v>
      </c>
      <c r="P15" s="74">
        <f t="shared" si="13"/>
        <v>11060</v>
      </c>
      <c r="Q15" s="74">
        <f t="shared" si="14"/>
        <v>13041</v>
      </c>
      <c r="R15" s="74">
        <f t="shared" si="15"/>
        <v>13050</v>
      </c>
      <c r="S15" s="74">
        <f t="shared" si="16"/>
        <v>3051</v>
      </c>
      <c r="T15" s="67" t="s">
        <v>498</v>
      </c>
      <c r="U15" s="67" t="str">
        <f t="shared" si="26"/>
        <v>P-SV13-O-A11</v>
      </c>
      <c r="V15" s="67">
        <f t="shared" si="27"/>
        <v>2048</v>
      </c>
      <c r="W15" s="67">
        <f t="shared" si="28"/>
        <v>768</v>
      </c>
      <c r="X15" s="67">
        <f t="shared" si="29"/>
        <v>768</v>
      </c>
      <c r="Y15" s="67">
        <f t="shared" si="30"/>
        <v>512</v>
      </c>
      <c r="Z15" s="67">
        <f t="shared" si="31"/>
        <v>512</v>
      </c>
      <c r="AA15" s="8" t="s">
        <v>192</v>
      </c>
      <c r="AB15" s="72" t="str">
        <f t="shared" si="9"/>
        <v>/sv1/sv13/wasApp</v>
      </c>
      <c r="AC15" s="67" t="str">
        <f t="shared" si="32"/>
        <v>/log/jboss7/P-SV13-O/P-SV13-O-F21</v>
      </c>
      <c r="AD15" s="8" t="s">
        <v>289</v>
      </c>
      <c r="AE15" s="129" t="s">
        <v>290</v>
      </c>
      <c r="AF15" s="129">
        <v>9998</v>
      </c>
      <c r="AG15" s="130"/>
    </row>
    <row r="16" spans="1:33" s="66" customFormat="1" ht="16.5" customHeight="1" thickBot="1">
      <c r="A16" s="116" t="s">
        <v>12</v>
      </c>
      <c r="B16" s="117" t="s">
        <v>679</v>
      </c>
      <c r="C16" s="117">
        <v>2</v>
      </c>
      <c r="D16" s="118" t="s">
        <v>502</v>
      </c>
      <c r="E16" s="118" t="str">
        <f>CONCATENATE(A16,"flb","ap0",C16)</f>
        <v>pflbap02</v>
      </c>
      <c r="F16" s="119" t="s">
        <v>692</v>
      </c>
      <c r="G16" s="120" t="str">
        <f>VLOOKUP(F16,'Domain별 코드 체계'!$B$5:$J$29,7,0)</f>
        <v>SV14</v>
      </c>
      <c r="H16" s="118" t="s">
        <v>660</v>
      </c>
      <c r="I16" s="117" t="str">
        <f t="shared" ref="I16" si="34">CONCATENATE(UPPER(IF(A16="d","P",A16)),"-",G16,"-",H16)</f>
        <v>P-SV14-O</v>
      </c>
      <c r="J16" s="117" t="s">
        <v>662</v>
      </c>
      <c r="K16" s="117">
        <v>1</v>
      </c>
      <c r="L16" s="118" t="str">
        <f t="shared" ref="L16" si="35">CONCATENATE(I16,"-",J16,C16,K16)</f>
        <v>P-SV14-O-S21</v>
      </c>
      <c r="M16" s="74" t="str">
        <f>IF(J16="S",9, "8")&amp;VLOOKUP(G16,'WAS Domain'!$E$11:$I$25,3,0)&amp;VLOOKUP(G16,'WAS Domain'!$E$11:$I$25,4,0)&amp;VLOOKUP(G16,'WAS Domain'!$E$11:$I$25,5,0)</f>
        <v>9114</v>
      </c>
      <c r="N16" s="74">
        <f t="shared" si="12"/>
        <v>9557</v>
      </c>
      <c r="O16" s="131" t="str">
        <f>VLOOKUP(G16,'WAS Domain'!$E$11:$I$25,2,0)&amp;VLOOKUP(G16,'WAS Domain'!$E$11:$I$25,3,0)&amp;VLOOKUP(G16,'WAS Domain'!$E$11:$I$25,4,0)&amp;VLOOKUP(G16,'WAS Domain'!$E$11:$I$25,5,0)&amp;IF(J16="A",0,IF(J16="F",K16,IF(LEFT(G16,3)="FWM",K16,9)))</f>
        <v>11149</v>
      </c>
      <c r="P16" s="131">
        <f t="shared" si="13"/>
        <v>11078</v>
      </c>
      <c r="Q16" s="131">
        <f t="shared" si="14"/>
        <v>13059</v>
      </c>
      <c r="R16" s="131">
        <f t="shared" si="15"/>
        <v>13068</v>
      </c>
      <c r="S16" s="131">
        <f t="shared" si="16"/>
        <v>3069</v>
      </c>
      <c r="T16" s="118" t="s">
        <v>499</v>
      </c>
      <c r="U16" s="118" t="str">
        <f t="shared" ref="U16" si="36">IF(J16="A","",CONCATENATE(I16,"-A11"))</f>
        <v>P-SV14-O-A11</v>
      </c>
      <c r="V16" s="118">
        <f t="shared" ref="V16" si="37">IF(J16="A",512,IF(J16="F",2048,IF(J16="S",1024)))</f>
        <v>1024</v>
      </c>
      <c r="W16" s="118">
        <f t="shared" ref="W16" si="38">IF(J16="A","",IF(J16="F",(V16/16)*6,IF(J16="S",V16/4)))</f>
        <v>256</v>
      </c>
      <c r="X16" s="118">
        <f t="shared" ref="X16" si="39">W16</f>
        <v>256</v>
      </c>
      <c r="Y16" s="118">
        <f t="shared" ref="Y16" si="40">IF(J16="A","",IF(J16="F",(V16/16)*4,IF(J16="S",V16/4)))</f>
        <v>256</v>
      </c>
      <c r="Z16" s="118">
        <f t="shared" ref="Z16" si="41">Y16</f>
        <v>256</v>
      </c>
      <c r="AA16" s="117" t="s">
        <v>215</v>
      </c>
      <c r="AB16" s="72" t="str">
        <f t="shared" si="9"/>
        <v>/sv1/sv14/wasAdminApp</v>
      </c>
      <c r="AC16" s="118" t="str">
        <f t="shared" si="32"/>
        <v>/log/jboss7/P-SV14-O/P-SV14-O-S21</v>
      </c>
      <c r="AD16" s="117" t="s">
        <v>289</v>
      </c>
      <c r="AE16" s="132" t="s">
        <v>290</v>
      </c>
      <c r="AF16" s="132">
        <v>9998</v>
      </c>
      <c r="AG16" s="133"/>
    </row>
    <row r="17" spans="1:33" s="90" customFormat="1" ht="4.5" customHeight="1">
      <c r="A17" s="98"/>
      <c r="B17" s="98"/>
      <c r="C17" s="98"/>
      <c r="D17" s="99"/>
      <c r="E17" s="99"/>
      <c r="F17" s="100"/>
      <c r="G17" s="101"/>
      <c r="H17" s="155"/>
      <c r="I17" s="156"/>
      <c r="J17" s="156"/>
      <c r="K17" s="98"/>
      <c r="L17" s="99"/>
      <c r="M17" s="102"/>
      <c r="N17" s="102"/>
      <c r="O17" s="102"/>
      <c r="P17" s="102"/>
      <c r="Q17" s="102"/>
      <c r="R17" s="102"/>
      <c r="S17" s="102"/>
      <c r="T17" s="99"/>
      <c r="U17" s="99"/>
      <c r="V17" s="99"/>
      <c r="W17" s="99"/>
      <c r="X17" s="99"/>
      <c r="Y17" s="99"/>
      <c r="Z17" s="99"/>
      <c r="AA17" s="98"/>
      <c r="AB17" s="72" t="str">
        <f t="shared" si="9"/>
        <v>///wasApp</v>
      </c>
      <c r="AC17" s="99"/>
      <c r="AD17" s="98"/>
      <c r="AE17" s="103"/>
      <c r="AF17" s="103"/>
      <c r="AG17" s="99"/>
    </row>
    <row r="18" spans="1:33" s="66" customFormat="1" ht="16.5" customHeight="1">
      <c r="A18" s="8" t="s">
        <v>12</v>
      </c>
      <c r="B18" s="81" t="s">
        <v>438</v>
      </c>
      <c r="C18" s="8">
        <v>1</v>
      </c>
      <c r="D18" s="67" t="s">
        <v>501</v>
      </c>
      <c r="E18" s="67" t="str">
        <f>CONCATENATE(A18,"ico","ap0",C18)</f>
        <v>picoap01</v>
      </c>
      <c r="F18" s="9" t="s">
        <v>500</v>
      </c>
      <c r="G18" s="39" t="str">
        <f>VLOOKUP(F18,'Domain별 코드 체계'!$B$5:$J$29,7,0)</f>
        <v>BE11</v>
      </c>
      <c r="H18" s="67" t="s">
        <v>5</v>
      </c>
      <c r="I18" s="8" t="str">
        <f t="shared" ref="I18" si="42">CONCATENATE(UPPER(IF(A18="d","P",A18)),"-",G18,"-",H18)</f>
        <v>P-BE11-O</v>
      </c>
      <c r="J18" s="8" t="s">
        <v>291</v>
      </c>
      <c r="K18" s="81">
        <v>1</v>
      </c>
      <c r="L18" s="72" t="str">
        <f t="shared" ref="L18" si="43">CONCATENATE(I18,"-",J18,C18,K18)</f>
        <v>P-BE11-O-F11</v>
      </c>
      <c r="M18" s="74" t="str">
        <f>IF(J18="S",9, "8")&amp;VLOOKUP(G18,'WAS Domain'!$E$11:$I$25,3,0)&amp;VLOOKUP(G18,'WAS Domain'!$E$11:$I$25,4,0)&amp;VLOOKUP(G18,'WAS Domain'!$E$11:$I$25,5,0)</f>
        <v>8231</v>
      </c>
      <c r="N18" s="74">
        <f t="shared" si="12"/>
        <v>8674</v>
      </c>
      <c r="O18" s="74" t="str">
        <f>VLOOKUP(G18,'WAS Domain'!$E$11:$I$25,2,0)&amp;VLOOKUP(G18,'WAS Domain'!$E$11:$I$25,3,0)&amp;VLOOKUP(G18,'WAS Domain'!$E$11:$I$25,4,0)&amp;VLOOKUP(G18,'WAS Domain'!$E$11:$I$25,5,0)&amp;IF(J18="A",0,IF(J18="F",K18,IF(LEFT(G18,3)="FWM",K18,9)))</f>
        <v>12311</v>
      </c>
      <c r="P18" s="73">
        <f t="shared" ref="P18:P34" si="44">S18+8009</f>
        <v>12240</v>
      </c>
      <c r="Q18" s="73">
        <f t="shared" ref="Q18:Q34" si="45">S18+9990</f>
        <v>14221</v>
      </c>
      <c r="R18" s="73">
        <f t="shared" si="15"/>
        <v>14230</v>
      </c>
      <c r="S18" s="73">
        <f t="shared" ref="S18:S34" si="46">O18-8080</f>
        <v>4231</v>
      </c>
      <c r="T18" s="72" t="s">
        <v>509</v>
      </c>
      <c r="U18" s="72" t="str">
        <f t="shared" ref="U18" si="47">IF(J18="A","",CONCATENATE(I18,"-A11"))</f>
        <v>P-BE11-O-A11</v>
      </c>
      <c r="V18" s="72">
        <f t="shared" ref="V18" si="48">IF(J18="A",512,IF(J18="F",2048,IF(J18="S",1024)))</f>
        <v>2048</v>
      </c>
      <c r="W18" s="72">
        <f t="shared" ref="W18" si="49">IF(J18="A","",IF(J18="F",(V18/16)*6,IF(J18="S",V18/4)))</f>
        <v>768</v>
      </c>
      <c r="X18" s="72">
        <f t="shared" ref="X18" si="50">W18</f>
        <v>768</v>
      </c>
      <c r="Y18" s="72">
        <f t="shared" ref="Y18" si="51">IF(J18="A","",IF(J18="F",(V18/16)*4,IF(J18="S",V18/4)))</f>
        <v>512</v>
      </c>
      <c r="Z18" s="72">
        <f t="shared" ref="Z18" si="52">Y18</f>
        <v>512</v>
      </c>
      <c r="AA18" s="81" t="s">
        <v>215</v>
      </c>
      <c r="AB18" s="72" t="str">
        <f t="shared" si="9"/>
        <v>/be1/be11/wasApp</v>
      </c>
      <c r="AC18" s="72" t="str">
        <f>CONCATENATE("/log/jboss7/",I18,"/",L18)</f>
        <v>/log/jboss7/P-BE11-O/P-BE11-O-F11</v>
      </c>
      <c r="AD18" s="81" t="s">
        <v>289</v>
      </c>
      <c r="AE18" s="16" t="s">
        <v>290</v>
      </c>
      <c r="AF18" s="16">
        <v>9998</v>
      </c>
      <c r="AG18" s="72"/>
    </row>
    <row r="19" spans="1:33" s="66" customFormat="1" ht="16.5" customHeight="1">
      <c r="A19" s="8" t="s">
        <v>12</v>
      </c>
      <c r="B19" s="81" t="s">
        <v>438</v>
      </c>
      <c r="C19" s="8">
        <v>1</v>
      </c>
      <c r="D19" s="67" t="s">
        <v>501</v>
      </c>
      <c r="E19" s="67" t="str">
        <f>CONCATENATE(A19,"ico","ap0",C19)</f>
        <v>picoap01</v>
      </c>
      <c r="F19" s="9" t="s">
        <v>500</v>
      </c>
      <c r="G19" s="39" t="str">
        <f>VLOOKUP(F19,'Domain별 코드 체계'!$B$5:$J$29,7,0)</f>
        <v>BE11</v>
      </c>
      <c r="H19" s="67" t="s">
        <v>5</v>
      </c>
      <c r="I19" s="8" t="str">
        <f t="shared" ref="I19:I20" si="53">CONCATENATE(UPPER(IF(A19="d","P",A19)),"-",G19,"-",H19)</f>
        <v>P-BE11-O</v>
      </c>
      <c r="J19" s="8" t="s">
        <v>291</v>
      </c>
      <c r="K19" s="81">
        <v>2</v>
      </c>
      <c r="L19" s="72" t="str">
        <f t="shared" ref="L19:L20" si="54">CONCATENATE(I19,"-",J19,C19,K19)</f>
        <v>P-BE11-O-F12</v>
      </c>
      <c r="M19" s="152" t="str">
        <f>IF(J19="S",9, "8")&amp;VLOOKUP(G19,'WAS Domain'!$E$11:$I$25,3,0)&amp;VLOOKUP(G19,'WAS Domain'!$E$11:$I$25,4,0)&amp;VLOOKUP(G19,'WAS Domain'!$E$11:$I$25,5,0)</f>
        <v>8231</v>
      </c>
      <c r="N19" s="74">
        <f t="shared" si="12"/>
        <v>8674</v>
      </c>
      <c r="O19" s="74" t="str">
        <f>VLOOKUP(G19,'WAS Domain'!$E$11:$I$25,2,0)&amp;VLOOKUP(G19,'WAS Domain'!$E$11:$I$25,3,0)&amp;VLOOKUP(G19,'WAS Domain'!$E$11:$I$25,4,0)&amp;VLOOKUP(G19,'WAS Domain'!$E$11:$I$25,5,0)&amp;IF(J19="A",0,IF(J19="F",K19,IF(LEFT(G19,3)="FWM",K19,9)))</f>
        <v>12312</v>
      </c>
      <c r="P19" s="73">
        <f t="shared" si="44"/>
        <v>12241</v>
      </c>
      <c r="Q19" s="73">
        <f t="shared" si="45"/>
        <v>14222</v>
      </c>
      <c r="R19" s="73">
        <f t="shared" si="15"/>
        <v>14231</v>
      </c>
      <c r="S19" s="73">
        <f t="shared" si="46"/>
        <v>4232</v>
      </c>
      <c r="T19" s="72" t="s">
        <v>508</v>
      </c>
      <c r="U19" s="72" t="str">
        <f t="shared" ref="U19:U20" si="55">IF(J19="A","",CONCATENATE(I19,"-A11"))</f>
        <v>P-BE11-O-A11</v>
      </c>
      <c r="V19" s="72">
        <f t="shared" ref="V19:V20" si="56">IF(J19="A",512,IF(J19="F",2048,IF(J19="S",1024)))</f>
        <v>2048</v>
      </c>
      <c r="W19" s="72">
        <f t="shared" ref="W19:W20" si="57">IF(J19="A","",IF(J19="F",(V19/16)*6,IF(J19="S",V19/4)))</f>
        <v>768</v>
      </c>
      <c r="X19" s="72">
        <f t="shared" ref="X19:X20" si="58">W19</f>
        <v>768</v>
      </c>
      <c r="Y19" s="72">
        <f t="shared" ref="Y19:Y20" si="59">IF(J19="A","",IF(J19="F",(V19/16)*4,IF(J19="S",V19/4)))</f>
        <v>512</v>
      </c>
      <c r="Z19" s="72">
        <f t="shared" ref="Z19:Z20" si="60">Y19</f>
        <v>512</v>
      </c>
      <c r="AA19" s="81" t="s">
        <v>215</v>
      </c>
      <c r="AB19" s="72" t="str">
        <f t="shared" si="9"/>
        <v>/be1/be11/wasApp</v>
      </c>
      <c r="AC19" s="72" t="str">
        <f>CONCATENATE("/log/jboss7/",I19,"/",L19)</f>
        <v>/log/jboss7/P-BE11-O/P-BE11-O-F12</v>
      </c>
      <c r="AD19" s="81" t="s">
        <v>289</v>
      </c>
      <c r="AE19" s="16" t="s">
        <v>290</v>
      </c>
      <c r="AF19" s="16">
        <v>9998</v>
      </c>
      <c r="AG19" s="72"/>
    </row>
    <row r="20" spans="1:33" s="66" customFormat="1" ht="16.5" customHeight="1">
      <c r="A20" s="8" t="s">
        <v>12</v>
      </c>
      <c r="B20" s="8" t="s">
        <v>452</v>
      </c>
      <c r="C20" s="8">
        <v>1</v>
      </c>
      <c r="D20" s="67" t="s">
        <v>501</v>
      </c>
      <c r="E20" s="67" t="str">
        <f>CONCATENATE(A20,"ico","ap0",C20)</f>
        <v>picoap01</v>
      </c>
      <c r="F20" s="9" t="s">
        <v>510</v>
      </c>
      <c r="G20" s="39" t="str">
        <f>VLOOKUP(F20,'Domain별 코드 체계'!$B$5:$J$29,7,0)</f>
        <v>PQ11</v>
      </c>
      <c r="H20" s="67" t="s">
        <v>5</v>
      </c>
      <c r="I20" s="8" t="str">
        <f t="shared" si="53"/>
        <v>P-PQ11-O</v>
      </c>
      <c r="J20" s="8" t="s">
        <v>291</v>
      </c>
      <c r="K20" s="81">
        <v>1</v>
      </c>
      <c r="L20" s="72" t="str">
        <f t="shared" si="54"/>
        <v>P-PQ11-O-F11</v>
      </c>
      <c r="M20" s="74" t="str">
        <f>IF(J20="S",9, "8")&amp;VLOOKUP(G20,'WAS Domain'!$E$11:$I$25,3,0)&amp;VLOOKUP(G20,'WAS Domain'!$E$11:$I$25,4,0)&amp;VLOOKUP(G20,'WAS Domain'!$E$11:$I$25,5,0)</f>
        <v>8221</v>
      </c>
      <c r="N20" s="74">
        <f t="shared" si="12"/>
        <v>8664</v>
      </c>
      <c r="O20" s="74" t="str">
        <f>VLOOKUP(G20,'WAS Domain'!$E$11:$I$25,2,0)&amp;VLOOKUP(G20,'WAS Domain'!$E$11:$I$25,3,0)&amp;VLOOKUP(G20,'WAS Domain'!$E$11:$I$25,4,0)&amp;VLOOKUP(G20,'WAS Domain'!$E$11:$I$25,5,0)&amp;IF(J20="A",0,IF(J20="F",K20,IF(LEFT(G20,3)="FWM",K20,9)))</f>
        <v>12211</v>
      </c>
      <c r="P20" s="73">
        <f t="shared" si="44"/>
        <v>12140</v>
      </c>
      <c r="Q20" s="73">
        <f t="shared" si="45"/>
        <v>14121</v>
      </c>
      <c r="R20" s="73">
        <f t="shared" si="15"/>
        <v>14130</v>
      </c>
      <c r="S20" s="73">
        <f t="shared" si="46"/>
        <v>4131</v>
      </c>
      <c r="T20" s="72" t="s">
        <v>511</v>
      </c>
      <c r="U20" s="72" t="str">
        <f t="shared" si="55"/>
        <v>P-PQ11-O-A11</v>
      </c>
      <c r="V20" s="72">
        <f t="shared" si="56"/>
        <v>2048</v>
      </c>
      <c r="W20" s="72">
        <f t="shared" si="57"/>
        <v>768</v>
      </c>
      <c r="X20" s="72">
        <f t="shared" si="58"/>
        <v>768</v>
      </c>
      <c r="Y20" s="72">
        <f t="shared" si="59"/>
        <v>512</v>
      </c>
      <c r="Z20" s="72">
        <f t="shared" si="60"/>
        <v>512</v>
      </c>
      <c r="AA20" s="81" t="s">
        <v>215</v>
      </c>
      <c r="AB20" s="72" t="str">
        <f t="shared" si="9"/>
        <v>/pq1/pq11/wasApp</v>
      </c>
      <c r="AC20" s="72" t="str">
        <f>CONCATENATE("/log/jboss7/",I20,"/",L20)</f>
        <v>/log/jboss7/P-PQ11-O/P-PQ11-O-F11</v>
      </c>
      <c r="AD20" s="81" t="s">
        <v>289</v>
      </c>
      <c r="AE20" s="16" t="s">
        <v>290</v>
      </c>
      <c r="AF20" s="16">
        <v>9998</v>
      </c>
      <c r="AG20" s="72"/>
    </row>
    <row r="21" spans="1:33" s="66" customFormat="1" ht="16.5" customHeight="1">
      <c r="A21" s="8" t="s">
        <v>12</v>
      </c>
      <c r="B21" s="8" t="s">
        <v>452</v>
      </c>
      <c r="C21" s="8">
        <v>1</v>
      </c>
      <c r="D21" s="67" t="s">
        <v>501</v>
      </c>
      <c r="E21" s="67" t="str">
        <f>CONCATENATE(A21,"ico","ap0",C21)</f>
        <v>picoap01</v>
      </c>
      <c r="F21" s="9" t="s">
        <v>504</v>
      </c>
      <c r="G21" s="39" t="str">
        <f>VLOOKUP(F21,'Domain별 코드 체계'!$B$5:$J$29,7,0)</f>
        <v>PQ11</v>
      </c>
      <c r="H21" s="67" t="s">
        <v>5</v>
      </c>
      <c r="I21" s="8" t="str">
        <f t="shared" ref="I21" si="61">CONCATENATE(UPPER(IF(A21="d","P",A21)),"-",G21,"-",H21)</f>
        <v>P-PQ11-O</v>
      </c>
      <c r="J21" s="8" t="s">
        <v>291</v>
      </c>
      <c r="K21" s="81">
        <v>2</v>
      </c>
      <c r="L21" s="72" t="str">
        <f t="shared" ref="L21" si="62">CONCATENATE(I21,"-",J21,C21,K21)</f>
        <v>P-PQ11-O-F12</v>
      </c>
      <c r="M21" s="152" t="str">
        <f>IF(J21="S",9, "8")&amp;VLOOKUP(G21,'WAS Domain'!$E$11:$I$25,3,0)&amp;VLOOKUP(G21,'WAS Domain'!$E$11:$I$25,4,0)&amp;VLOOKUP(G21,'WAS Domain'!$E$11:$I$25,5,0)</f>
        <v>8221</v>
      </c>
      <c r="N21" s="74">
        <f t="shared" si="12"/>
        <v>8664</v>
      </c>
      <c r="O21" s="74" t="str">
        <f>VLOOKUP(G21,'WAS Domain'!$E$11:$I$25,2,0)&amp;VLOOKUP(G21,'WAS Domain'!$E$11:$I$25,3,0)&amp;VLOOKUP(G21,'WAS Domain'!$E$11:$I$25,4,0)&amp;VLOOKUP(G21,'WAS Domain'!$E$11:$I$25,5,0)&amp;IF(J21="A",0,IF(J21="F",K21,IF(LEFT(G21,3)="FWM",K21,9)))</f>
        <v>12212</v>
      </c>
      <c r="P21" s="73">
        <f t="shared" si="44"/>
        <v>12141</v>
      </c>
      <c r="Q21" s="73">
        <f t="shared" si="45"/>
        <v>14122</v>
      </c>
      <c r="R21" s="73">
        <f t="shared" si="15"/>
        <v>14131</v>
      </c>
      <c r="S21" s="73">
        <f t="shared" si="46"/>
        <v>4132</v>
      </c>
      <c r="T21" s="72" t="s">
        <v>512</v>
      </c>
      <c r="U21" s="72" t="str">
        <f t="shared" ref="U21" si="63">IF(J21="A","",CONCATENATE(I21,"-A11"))</f>
        <v>P-PQ11-O-A11</v>
      </c>
      <c r="V21" s="72">
        <f t="shared" ref="V21" si="64">IF(J21="A",512,IF(J21="F",2048,IF(J21="S",1024)))</f>
        <v>2048</v>
      </c>
      <c r="W21" s="72">
        <f t="shared" ref="W21" si="65">IF(J21="A","",IF(J21="F",(V21/16)*6,IF(J21="S",V21/4)))</f>
        <v>768</v>
      </c>
      <c r="X21" s="72">
        <f t="shared" ref="X21" si="66">W21</f>
        <v>768</v>
      </c>
      <c r="Y21" s="72">
        <f t="shared" ref="Y21" si="67">IF(J21="A","",IF(J21="F",(V21/16)*4,IF(J21="S",V21/4)))</f>
        <v>512</v>
      </c>
      <c r="Z21" s="72">
        <f t="shared" ref="Z21" si="68">Y21</f>
        <v>512</v>
      </c>
      <c r="AA21" s="81" t="s">
        <v>215</v>
      </c>
      <c r="AB21" s="72" t="str">
        <f t="shared" si="9"/>
        <v>/pq1/pq11/wasApp</v>
      </c>
      <c r="AC21" s="72" t="str">
        <f>CONCATENATE("/log/jboss7/",I21,"/",L21)</f>
        <v>/log/jboss7/P-PQ11-O/P-PQ11-O-F12</v>
      </c>
      <c r="AD21" s="81" t="s">
        <v>289</v>
      </c>
      <c r="AE21" s="16" t="s">
        <v>290</v>
      </c>
      <c r="AF21" s="16">
        <v>9998</v>
      </c>
      <c r="AG21" s="72"/>
    </row>
    <row r="22" spans="1:33" s="66" customFormat="1" ht="16.5" customHeight="1">
      <c r="A22" s="8" t="s">
        <v>12</v>
      </c>
      <c r="B22" s="8" t="s">
        <v>452</v>
      </c>
      <c r="C22" s="8">
        <v>1</v>
      </c>
      <c r="D22" s="67" t="s">
        <v>501</v>
      </c>
      <c r="E22" s="67" t="str">
        <f t="shared" ref="E22:E34" si="69">CONCATENATE(A22,"ico","ap0",C22)</f>
        <v>picoap01</v>
      </c>
      <c r="F22" s="9" t="s">
        <v>549</v>
      </c>
      <c r="G22" s="39" t="str">
        <f>VLOOKUP(F22,'Domain별 코드 체계'!$B$5:$J$29,7,0)</f>
        <v>PQ11</v>
      </c>
      <c r="H22" s="67" t="s">
        <v>5</v>
      </c>
      <c r="I22" s="8" t="str">
        <f t="shared" ref="I22:I38" si="70">CONCATENATE(UPPER(IF(A22="d","P",A22)),"-",G22,"-",H22)</f>
        <v>P-PQ11-O</v>
      </c>
      <c r="J22" s="8" t="s">
        <v>675</v>
      </c>
      <c r="K22" s="81">
        <v>1</v>
      </c>
      <c r="L22" s="72" t="str">
        <f t="shared" ref="L22:L38" si="71">CONCATENATE(I22,"-",J22,C22,K22)</f>
        <v>P-PQ11-O-S11</v>
      </c>
      <c r="M22" s="74" t="str">
        <f>IF(J22="S",9, "8")&amp;VLOOKUP(G22,'WAS Domain'!$E$11:$I$25,3,0)&amp;VLOOKUP(G22,'WAS Domain'!$E$11:$I$25,4,0)&amp;VLOOKUP(G22,'WAS Domain'!$E$11:$I$25,5,0)</f>
        <v>9221</v>
      </c>
      <c r="N22" s="74">
        <f t="shared" si="12"/>
        <v>9664</v>
      </c>
      <c r="O22" s="74" t="str">
        <f>VLOOKUP(G22,'WAS Domain'!$E$11:$I$25,2,0)&amp;VLOOKUP(G22,'WAS Domain'!$E$11:$I$25,3,0)&amp;VLOOKUP(G22,'WAS Domain'!$E$11:$I$25,4,0)&amp;VLOOKUP(G22,'WAS Domain'!$E$11:$I$25,5,0)&amp;IF(J22="A",0,IF(J22="F",K22,IF(LEFT(G22,3)="FWM",K22,9)))</f>
        <v>12219</v>
      </c>
      <c r="P22" s="73">
        <f t="shared" si="44"/>
        <v>12148</v>
      </c>
      <c r="Q22" s="73">
        <f t="shared" si="45"/>
        <v>14129</v>
      </c>
      <c r="R22" s="73">
        <f t="shared" si="15"/>
        <v>14138</v>
      </c>
      <c r="S22" s="73">
        <f t="shared" si="46"/>
        <v>4139</v>
      </c>
      <c r="T22" s="72" t="s">
        <v>550</v>
      </c>
      <c r="U22" s="72" t="str">
        <f t="shared" ref="U22:U38" si="72">IF(J22="A","",CONCATENATE(I22,"-A11"))</f>
        <v>P-PQ11-O-A11</v>
      </c>
      <c r="V22" s="72">
        <f t="shared" ref="V22:V38" si="73">IF(J22="A",512,IF(J22="F",2048,IF(J22="S",1024)))</f>
        <v>1024</v>
      </c>
      <c r="W22" s="72">
        <f t="shared" ref="W22:W38" si="74">IF(J22="A","",IF(J22="F",(V22/16)*6,IF(J22="S",V22/4)))</f>
        <v>256</v>
      </c>
      <c r="X22" s="72">
        <f t="shared" ref="X22:X38" si="75">W22</f>
        <v>256</v>
      </c>
      <c r="Y22" s="72">
        <f t="shared" ref="Y22:Y38" si="76">IF(J22="A","",IF(J22="F",(V22/16)*4,IF(J22="S",V22/4)))</f>
        <v>256</v>
      </c>
      <c r="Z22" s="72">
        <f t="shared" ref="Z22:Z38" si="77">Y22</f>
        <v>256</v>
      </c>
      <c r="AA22" s="81" t="s">
        <v>215</v>
      </c>
      <c r="AB22" s="72" t="str">
        <f t="shared" si="9"/>
        <v>/pq1/pq11/wasAdminApp</v>
      </c>
      <c r="AC22" s="72" t="str">
        <f t="shared" ref="AC22:AC34" si="78">CONCATENATE("/log/jboss7/",I22,"/",L22)</f>
        <v>/log/jboss7/P-PQ11-O/P-PQ11-O-S11</v>
      </c>
      <c r="AD22" s="81" t="s">
        <v>289</v>
      </c>
      <c r="AE22" s="16" t="s">
        <v>290</v>
      </c>
      <c r="AF22" s="16">
        <v>9998</v>
      </c>
      <c r="AG22" s="72"/>
    </row>
    <row r="23" spans="1:33" s="66" customFormat="1" ht="16.5" customHeight="1">
      <c r="A23" s="8" t="s">
        <v>12</v>
      </c>
      <c r="B23" s="8" t="s">
        <v>439</v>
      </c>
      <c r="C23" s="8">
        <v>1</v>
      </c>
      <c r="D23" s="67" t="s">
        <v>501</v>
      </c>
      <c r="E23" s="67" t="str">
        <f t="shared" si="69"/>
        <v>picoap01</v>
      </c>
      <c r="F23" s="9" t="s">
        <v>505</v>
      </c>
      <c r="G23" s="39" t="str">
        <f>VLOOKUP(F23,'Domain별 코드 체계'!$B$5:$J$29,7,0)</f>
        <v>SP11</v>
      </c>
      <c r="H23" s="67" t="s">
        <v>5</v>
      </c>
      <c r="I23" s="8" t="str">
        <f t="shared" si="70"/>
        <v>P-SP11-O</v>
      </c>
      <c r="J23" s="8" t="s">
        <v>291</v>
      </c>
      <c r="K23" s="81">
        <v>1</v>
      </c>
      <c r="L23" s="72" t="str">
        <f t="shared" si="71"/>
        <v>P-SP11-O-F11</v>
      </c>
      <c r="M23" s="74" t="str">
        <f>IF(J23="S",9, "8")&amp;VLOOKUP(G23,'WAS Domain'!$E$11:$I$25,3,0)&amp;VLOOKUP(G23,'WAS Domain'!$E$11:$I$25,4,0)&amp;VLOOKUP(G23,'WAS Domain'!$E$11:$I$25,5,0)</f>
        <v>8211</v>
      </c>
      <c r="N23" s="74">
        <f t="shared" si="12"/>
        <v>8654</v>
      </c>
      <c r="O23" s="74" t="str">
        <f>VLOOKUP(G23,'WAS Domain'!$E$11:$I$25,2,0)&amp;VLOOKUP(G23,'WAS Domain'!$E$11:$I$25,3,0)&amp;VLOOKUP(G23,'WAS Domain'!$E$11:$I$25,4,0)&amp;VLOOKUP(G23,'WAS Domain'!$E$11:$I$25,5,0)&amp;IF(J23="A",0,IF(J23="F",K23,IF(LEFT(G23,3)="FWM",K23,9)))</f>
        <v>12111</v>
      </c>
      <c r="P23" s="73">
        <f t="shared" si="44"/>
        <v>12040</v>
      </c>
      <c r="Q23" s="73">
        <f t="shared" si="45"/>
        <v>14021</v>
      </c>
      <c r="R23" s="73">
        <f t="shared" si="15"/>
        <v>14030</v>
      </c>
      <c r="S23" s="73">
        <f t="shared" si="46"/>
        <v>4031</v>
      </c>
      <c r="T23" s="72" t="s">
        <v>551</v>
      </c>
      <c r="U23" s="72" t="str">
        <f t="shared" si="72"/>
        <v>P-SP11-O-A11</v>
      </c>
      <c r="V23" s="72">
        <f t="shared" si="73"/>
        <v>2048</v>
      </c>
      <c r="W23" s="72">
        <f t="shared" si="74"/>
        <v>768</v>
      </c>
      <c r="X23" s="72">
        <f t="shared" si="75"/>
        <v>768</v>
      </c>
      <c r="Y23" s="72">
        <f t="shared" si="76"/>
        <v>512</v>
      </c>
      <c r="Z23" s="72">
        <f t="shared" si="77"/>
        <v>512</v>
      </c>
      <c r="AA23" s="81" t="s">
        <v>215</v>
      </c>
      <c r="AB23" s="72" t="str">
        <f t="shared" si="9"/>
        <v>/sp1/sp11/wasApp</v>
      </c>
      <c r="AC23" s="72" t="str">
        <f t="shared" si="78"/>
        <v>/log/jboss7/P-SP11-O/P-SP11-O-F11</v>
      </c>
      <c r="AD23" s="81" t="s">
        <v>289</v>
      </c>
      <c r="AE23" s="16" t="s">
        <v>290</v>
      </c>
      <c r="AF23" s="16">
        <v>9998</v>
      </c>
      <c r="AG23" s="72"/>
    </row>
    <row r="24" spans="1:33" s="66" customFormat="1" ht="16.5" customHeight="1">
      <c r="A24" s="8" t="s">
        <v>12</v>
      </c>
      <c r="B24" s="8" t="s">
        <v>439</v>
      </c>
      <c r="C24" s="8">
        <v>1</v>
      </c>
      <c r="D24" s="67" t="s">
        <v>501</v>
      </c>
      <c r="E24" s="67" t="str">
        <f t="shared" si="69"/>
        <v>picoap01</v>
      </c>
      <c r="F24" s="9" t="s">
        <v>505</v>
      </c>
      <c r="G24" s="39" t="str">
        <f>VLOOKUP(F24,'Domain별 코드 체계'!$B$5:$J$29,7,0)</f>
        <v>SP11</v>
      </c>
      <c r="H24" s="67" t="s">
        <v>5</v>
      </c>
      <c r="I24" s="8" t="str">
        <f t="shared" si="70"/>
        <v>P-SP11-O</v>
      </c>
      <c r="J24" s="8" t="s">
        <v>662</v>
      </c>
      <c r="K24" s="81">
        <v>1</v>
      </c>
      <c r="L24" s="72" t="str">
        <f t="shared" si="71"/>
        <v>P-SP11-O-S11</v>
      </c>
      <c r="M24" s="74" t="str">
        <f>IF(J24="S",9, "8")&amp;VLOOKUP(G24,'WAS Domain'!$E$11:$I$25,3,0)&amp;VLOOKUP(G24,'WAS Domain'!$E$11:$I$25,4,0)&amp;VLOOKUP(G24,'WAS Domain'!$E$11:$I$25,5,0)</f>
        <v>9211</v>
      </c>
      <c r="N24" s="74">
        <f t="shared" si="12"/>
        <v>9654</v>
      </c>
      <c r="O24" s="74" t="str">
        <f>VLOOKUP(G24,'WAS Domain'!$E$11:$I$25,2,0)&amp;VLOOKUP(G24,'WAS Domain'!$E$11:$I$25,3,0)&amp;VLOOKUP(G24,'WAS Domain'!$E$11:$I$25,4,0)&amp;VLOOKUP(G24,'WAS Domain'!$E$11:$I$25,5,0)&amp;IF(J24="A",0,IF(J24="F",K24,IF(LEFT(G24,3)="FWM",K24,9)))</f>
        <v>12119</v>
      </c>
      <c r="P24" s="73">
        <f t="shared" si="44"/>
        <v>12048</v>
      </c>
      <c r="Q24" s="73">
        <f t="shared" si="45"/>
        <v>14029</v>
      </c>
      <c r="R24" s="73">
        <f t="shared" si="15"/>
        <v>14038</v>
      </c>
      <c r="S24" s="73">
        <f t="shared" si="46"/>
        <v>4039</v>
      </c>
      <c r="T24" s="72" t="s">
        <v>552</v>
      </c>
      <c r="U24" s="72" t="str">
        <f t="shared" si="72"/>
        <v>P-SP11-O-A11</v>
      </c>
      <c r="V24" s="72">
        <f t="shared" si="73"/>
        <v>1024</v>
      </c>
      <c r="W24" s="72">
        <f t="shared" si="74"/>
        <v>256</v>
      </c>
      <c r="X24" s="72">
        <f t="shared" si="75"/>
        <v>256</v>
      </c>
      <c r="Y24" s="72">
        <f t="shared" si="76"/>
        <v>256</v>
      </c>
      <c r="Z24" s="72">
        <f t="shared" si="77"/>
        <v>256</v>
      </c>
      <c r="AA24" s="81" t="s">
        <v>215</v>
      </c>
      <c r="AB24" s="72" t="str">
        <f t="shared" si="9"/>
        <v>/sp1/sp11/wasAdminApp</v>
      </c>
      <c r="AC24" s="72" t="str">
        <f t="shared" si="78"/>
        <v>/log/jboss7/P-SP11-O/P-SP11-O-S11</v>
      </c>
      <c r="AD24" s="81" t="s">
        <v>289</v>
      </c>
      <c r="AE24" s="16" t="s">
        <v>290</v>
      </c>
      <c r="AF24" s="16">
        <v>9998</v>
      </c>
      <c r="AG24" s="72"/>
    </row>
    <row r="25" spans="1:33" s="66" customFormat="1" ht="16.5" customHeight="1">
      <c r="A25" s="8" t="s">
        <v>12</v>
      </c>
      <c r="B25" s="81" t="s">
        <v>441</v>
      </c>
      <c r="C25" s="8">
        <v>1</v>
      </c>
      <c r="D25" s="67" t="s">
        <v>501</v>
      </c>
      <c r="E25" s="67" t="str">
        <f t="shared" si="69"/>
        <v>picoap01</v>
      </c>
      <c r="F25" s="9" t="s">
        <v>427</v>
      </c>
      <c r="G25" s="39" t="str">
        <f>VLOOKUP(F25,'Domain별 코드 체계'!$B$5:$J$29,7,0)</f>
        <v>BIM1</v>
      </c>
      <c r="H25" s="92" t="s">
        <v>660</v>
      </c>
      <c r="I25" s="8" t="str">
        <f t="shared" si="70"/>
        <v>P-BIM1-O</v>
      </c>
      <c r="J25" s="8" t="s">
        <v>663</v>
      </c>
      <c r="K25" s="81">
        <v>1</v>
      </c>
      <c r="L25" s="72" t="str">
        <f t="shared" si="71"/>
        <v>P-BIM1-O-F11</v>
      </c>
      <c r="M25" s="74" t="str">
        <f>IF(J25="S",9, "8")&amp;VLOOKUP(G25,'WAS Domain'!$E$11:$I$25,3,0)&amp;VLOOKUP(G25,'WAS Domain'!$E$11:$I$25,4,0)&amp;VLOOKUP(G25,'WAS Domain'!$E$11:$I$25,5,0)</f>
        <v>8261</v>
      </c>
      <c r="N25" s="74">
        <f t="shared" si="12"/>
        <v>8704</v>
      </c>
      <c r="O25" s="74" t="str">
        <f>VLOOKUP(G25,'WAS Domain'!$E$11:$I$25,2,0)&amp;VLOOKUP(G25,'WAS Domain'!$E$11:$I$25,3,0)&amp;VLOOKUP(G25,'WAS Domain'!$E$11:$I$25,4,0)&amp;VLOOKUP(G25,'WAS Domain'!$E$11:$I$25,5,0)&amp;IF(J25="A",0,IF(J25="F",K25,IF(LEFT(G25,3)="FWM",K25,9)))</f>
        <v>12611</v>
      </c>
      <c r="P25" s="73">
        <f t="shared" si="44"/>
        <v>12540</v>
      </c>
      <c r="Q25" s="73">
        <f t="shared" si="45"/>
        <v>14521</v>
      </c>
      <c r="R25" s="73">
        <f t="shared" si="15"/>
        <v>14530</v>
      </c>
      <c r="S25" s="73">
        <f t="shared" si="46"/>
        <v>4531</v>
      </c>
      <c r="T25" s="72" t="s">
        <v>514</v>
      </c>
      <c r="U25" s="72" t="str">
        <f t="shared" si="72"/>
        <v>P-BIM1-O-A11</v>
      </c>
      <c r="V25" s="72">
        <f t="shared" si="73"/>
        <v>2048</v>
      </c>
      <c r="W25" s="72">
        <f t="shared" si="74"/>
        <v>768</v>
      </c>
      <c r="X25" s="72">
        <f t="shared" si="75"/>
        <v>768</v>
      </c>
      <c r="Y25" s="72">
        <f t="shared" si="76"/>
        <v>512</v>
      </c>
      <c r="Z25" s="72">
        <f t="shared" si="77"/>
        <v>512</v>
      </c>
      <c r="AA25" s="81" t="s">
        <v>215</v>
      </c>
      <c r="AB25" s="72" t="str">
        <f t="shared" si="9"/>
        <v>/bim/bim1/wasApp</v>
      </c>
      <c r="AC25" s="72" t="str">
        <f t="shared" si="78"/>
        <v>/log/jboss7/P-BIM1-O/P-BIM1-O-F11</v>
      </c>
      <c r="AD25" s="81" t="s">
        <v>289</v>
      </c>
      <c r="AE25" s="16" t="s">
        <v>290</v>
      </c>
      <c r="AF25" s="16">
        <v>9998</v>
      </c>
      <c r="AG25" s="72"/>
    </row>
    <row r="26" spans="1:33" s="66" customFormat="1" ht="16.5" customHeight="1">
      <c r="A26" s="8" t="s">
        <v>12</v>
      </c>
      <c r="B26" s="81" t="s">
        <v>441</v>
      </c>
      <c r="C26" s="8">
        <v>1</v>
      </c>
      <c r="D26" s="67" t="s">
        <v>501</v>
      </c>
      <c r="E26" s="67" t="str">
        <f t="shared" si="69"/>
        <v>picoap01</v>
      </c>
      <c r="F26" s="9" t="s">
        <v>427</v>
      </c>
      <c r="G26" s="39" t="str">
        <f>VLOOKUP(F26,'Domain별 코드 체계'!$B$5:$J$29,7,0)</f>
        <v>BIM1</v>
      </c>
      <c r="H26" s="92" t="s">
        <v>660</v>
      </c>
      <c r="I26" s="8" t="str">
        <f t="shared" si="70"/>
        <v>P-BIM1-O</v>
      </c>
      <c r="J26" s="8" t="s">
        <v>663</v>
      </c>
      <c r="K26" s="81">
        <v>2</v>
      </c>
      <c r="L26" s="72" t="str">
        <f t="shared" si="71"/>
        <v>P-BIM1-O-F12</v>
      </c>
      <c r="M26" s="152" t="str">
        <f>IF(J26="S",9, "8")&amp;VLOOKUP(G26,'WAS Domain'!$E$11:$I$25,3,0)&amp;VLOOKUP(G26,'WAS Domain'!$E$11:$I$25,4,0)&amp;VLOOKUP(G26,'WAS Domain'!$E$11:$I$25,5,0)</f>
        <v>8261</v>
      </c>
      <c r="N26" s="74">
        <f t="shared" si="12"/>
        <v>8704</v>
      </c>
      <c r="O26" s="74" t="str">
        <f>VLOOKUP(G26,'WAS Domain'!$E$11:$I$25,2,0)&amp;VLOOKUP(G26,'WAS Domain'!$E$11:$I$25,3,0)&amp;VLOOKUP(G26,'WAS Domain'!$E$11:$I$25,4,0)&amp;VLOOKUP(G26,'WAS Domain'!$E$11:$I$25,5,0)&amp;IF(J26="A",0,IF(J26="F",K26,IF(LEFT(G26,3)="FWM",K26,9)))</f>
        <v>12612</v>
      </c>
      <c r="P26" s="73">
        <f t="shared" si="44"/>
        <v>12541</v>
      </c>
      <c r="Q26" s="73">
        <f t="shared" si="45"/>
        <v>14522</v>
      </c>
      <c r="R26" s="73">
        <f t="shared" si="15"/>
        <v>14531</v>
      </c>
      <c r="S26" s="73">
        <f t="shared" si="46"/>
        <v>4532</v>
      </c>
      <c r="T26" s="72" t="s">
        <v>515</v>
      </c>
      <c r="U26" s="72" t="str">
        <f t="shared" si="72"/>
        <v>P-BIM1-O-A11</v>
      </c>
      <c r="V26" s="72">
        <f t="shared" si="73"/>
        <v>2048</v>
      </c>
      <c r="W26" s="72">
        <f t="shared" si="74"/>
        <v>768</v>
      </c>
      <c r="X26" s="72">
        <f t="shared" si="75"/>
        <v>768</v>
      </c>
      <c r="Y26" s="72">
        <f t="shared" si="76"/>
        <v>512</v>
      </c>
      <c r="Z26" s="72">
        <f t="shared" si="77"/>
        <v>512</v>
      </c>
      <c r="AA26" s="81" t="s">
        <v>215</v>
      </c>
      <c r="AB26" s="72" t="str">
        <f t="shared" si="9"/>
        <v>/bim/bim1/wasApp</v>
      </c>
      <c r="AC26" s="72" t="str">
        <f t="shared" si="78"/>
        <v>/log/jboss7/P-BIM1-O/P-BIM1-O-F12</v>
      </c>
      <c r="AD26" s="81" t="s">
        <v>289</v>
      </c>
      <c r="AE26" s="16" t="s">
        <v>290</v>
      </c>
      <c r="AF26" s="16">
        <v>9998</v>
      </c>
      <c r="AG26" s="72"/>
    </row>
    <row r="27" spans="1:33" s="66" customFormat="1" ht="16.5" customHeight="1">
      <c r="A27" s="8" t="s">
        <v>12</v>
      </c>
      <c r="B27" s="81" t="s">
        <v>503</v>
      </c>
      <c r="C27" s="8">
        <v>1</v>
      </c>
      <c r="D27" s="67" t="s">
        <v>501</v>
      </c>
      <c r="E27" s="67" t="str">
        <f t="shared" si="69"/>
        <v>picoap01</v>
      </c>
      <c r="F27" s="9" t="s">
        <v>405</v>
      </c>
      <c r="G27" s="39" t="str">
        <f>VLOOKUP(F27,'Domain별 코드 체계'!$B$5:$J$29,7,0)</f>
        <v>GE21</v>
      </c>
      <c r="H27" s="92" t="s">
        <v>554</v>
      </c>
      <c r="I27" s="8" t="str">
        <f t="shared" si="70"/>
        <v>P-GE21-O</v>
      </c>
      <c r="J27" s="8" t="s">
        <v>555</v>
      </c>
      <c r="K27" s="81">
        <v>1</v>
      </c>
      <c r="L27" s="72" t="str">
        <f t="shared" si="71"/>
        <v>P-GE21-O-F11</v>
      </c>
      <c r="M27" s="74" t="str">
        <f>IF(J27="S",9, "8")&amp;VLOOKUP(G27,'WAS Domain'!$E$11:$I$25,3,0)&amp;VLOOKUP(G27,'WAS Domain'!$E$11:$I$25,4,0)&amp;VLOOKUP(G27,'WAS Domain'!$E$11:$I$25,5,0)</f>
        <v>8241</v>
      </c>
      <c r="N27" s="74">
        <f t="shared" si="12"/>
        <v>8684</v>
      </c>
      <c r="O27" s="74" t="str">
        <f>VLOOKUP(G27,'WAS Domain'!$E$11:$I$25,2,0)&amp;VLOOKUP(G27,'WAS Domain'!$E$11:$I$25,3,0)&amp;VLOOKUP(G27,'WAS Domain'!$E$11:$I$25,4,0)&amp;VLOOKUP(G27,'WAS Domain'!$E$11:$I$25,5,0)&amp;IF(J27="A",0,IF(J27="F",K27,IF(LEFT(G27,3)="FWM",K27,9)))</f>
        <v>12411</v>
      </c>
      <c r="P27" s="73">
        <f t="shared" si="44"/>
        <v>12340</v>
      </c>
      <c r="Q27" s="73">
        <f t="shared" si="45"/>
        <v>14321</v>
      </c>
      <c r="R27" s="73">
        <f t="shared" si="15"/>
        <v>14330</v>
      </c>
      <c r="S27" s="73">
        <f t="shared" si="46"/>
        <v>4331</v>
      </c>
      <c r="T27" s="72" t="s">
        <v>516</v>
      </c>
      <c r="U27" s="72" t="str">
        <f t="shared" si="72"/>
        <v>P-GE21-O-A11</v>
      </c>
      <c r="V27" s="72">
        <f t="shared" si="73"/>
        <v>2048</v>
      </c>
      <c r="W27" s="72">
        <f t="shared" si="74"/>
        <v>768</v>
      </c>
      <c r="X27" s="72">
        <f t="shared" si="75"/>
        <v>768</v>
      </c>
      <c r="Y27" s="72">
        <f t="shared" si="76"/>
        <v>512</v>
      </c>
      <c r="Z27" s="72">
        <f t="shared" si="77"/>
        <v>512</v>
      </c>
      <c r="AA27" s="81" t="s">
        <v>215</v>
      </c>
      <c r="AB27" s="72" t="str">
        <f t="shared" si="9"/>
        <v>/ge2/ge21/wasApp</v>
      </c>
      <c r="AC27" s="72" t="str">
        <f t="shared" si="78"/>
        <v>/log/jboss7/P-GE21-O/P-GE21-O-F11</v>
      </c>
      <c r="AD27" s="81" t="s">
        <v>289</v>
      </c>
      <c r="AE27" s="16" t="s">
        <v>290</v>
      </c>
      <c r="AF27" s="16">
        <v>9998</v>
      </c>
      <c r="AG27" s="72"/>
    </row>
    <row r="28" spans="1:33" s="66" customFormat="1" ht="16.5" customHeight="1">
      <c r="A28" s="8" t="s">
        <v>12</v>
      </c>
      <c r="B28" s="81" t="s">
        <v>503</v>
      </c>
      <c r="C28" s="8">
        <v>1</v>
      </c>
      <c r="D28" s="67" t="s">
        <v>501</v>
      </c>
      <c r="E28" s="67" t="str">
        <f t="shared" si="69"/>
        <v>picoap01</v>
      </c>
      <c r="F28" s="9" t="s">
        <v>405</v>
      </c>
      <c r="G28" s="39" t="str">
        <f>VLOOKUP(F28,'Domain별 코드 체계'!$B$5:$J$29,7,0)</f>
        <v>GE21</v>
      </c>
      <c r="H28" s="92" t="s">
        <v>554</v>
      </c>
      <c r="I28" s="8" t="str">
        <f t="shared" si="70"/>
        <v>P-GE21-O</v>
      </c>
      <c r="J28" s="8" t="s">
        <v>555</v>
      </c>
      <c r="K28" s="81">
        <v>2</v>
      </c>
      <c r="L28" s="72" t="str">
        <f t="shared" si="71"/>
        <v>P-GE21-O-F12</v>
      </c>
      <c r="M28" s="152" t="str">
        <f>IF(J28="S",9, "8")&amp;VLOOKUP(G28,'WAS Domain'!$E$11:$I$25,3,0)&amp;VLOOKUP(G28,'WAS Domain'!$E$11:$I$25,4,0)&amp;VLOOKUP(G28,'WAS Domain'!$E$11:$I$25,5,0)</f>
        <v>8241</v>
      </c>
      <c r="N28" s="74">
        <f t="shared" si="12"/>
        <v>8684</v>
      </c>
      <c r="O28" s="74" t="str">
        <f>VLOOKUP(G28,'WAS Domain'!$E$11:$I$25,2,0)&amp;VLOOKUP(G28,'WAS Domain'!$E$11:$I$25,3,0)&amp;VLOOKUP(G28,'WAS Domain'!$E$11:$I$25,4,0)&amp;VLOOKUP(G28,'WAS Domain'!$E$11:$I$25,5,0)&amp;IF(J28="A",0,IF(J28="F",K28,IF(LEFT(G28,3)="FWM",K28,9)))</f>
        <v>12412</v>
      </c>
      <c r="P28" s="73">
        <f t="shared" si="44"/>
        <v>12341</v>
      </c>
      <c r="Q28" s="73">
        <f t="shared" si="45"/>
        <v>14322</v>
      </c>
      <c r="R28" s="73">
        <f t="shared" si="15"/>
        <v>14331</v>
      </c>
      <c r="S28" s="73">
        <f t="shared" si="46"/>
        <v>4332</v>
      </c>
      <c r="T28" s="72" t="s">
        <v>517</v>
      </c>
      <c r="U28" s="72" t="str">
        <f t="shared" si="72"/>
        <v>P-GE21-O-A11</v>
      </c>
      <c r="V28" s="72">
        <f t="shared" si="73"/>
        <v>2048</v>
      </c>
      <c r="W28" s="72">
        <f t="shared" si="74"/>
        <v>768</v>
      </c>
      <c r="X28" s="72">
        <f t="shared" si="75"/>
        <v>768</v>
      </c>
      <c r="Y28" s="72">
        <f t="shared" si="76"/>
        <v>512</v>
      </c>
      <c r="Z28" s="72">
        <f t="shared" si="77"/>
        <v>512</v>
      </c>
      <c r="AA28" s="81" t="s">
        <v>215</v>
      </c>
      <c r="AB28" s="72" t="str">
        <f t="shared" si="9"/>
        <v>/ge2/ge21/wasApp</v>
      </c>
      <c r="AC28" s="72" t="str">
        <f t="shared" si="78"/>
        <v>/log/jboss7/P-GE21-O/P-GE21-O-F12</v>
      </c>
      <c r="AD28" s="81" t="s">
        <v>289</v>
      </c>
      <c r="AE28" s="16" t="s">
        <v>290</v>
      </c>
      <c r="AF28" s="16">
        <v>9998</v>
      </c>
      <c r="AG28" s="72"/>
    </row>
    <row r="29" spans="1:33" s="66" customFormat="1" ht="16.5" customHeight="1">
      <c r="A29" s="8" t="s">
        <v>12</v>
      </c>
      <c r="B29" s="81" t="s">
        <v>503</v>
      </c>
      <c r="C29" s="8">
        <v>1</v>
      </c>
      <c r="D29" s="67" t="s">
        <v>501</v>
      </c>
      <c r="E29" s="67" t="str">
        <f t="shared" si="69"/>
        <v>picoap01</v>
      </c>
      <c r="F29" s="9" t="s">
        <v>405</v>
      </c>
      <c r="G29" s="39" t="str">
        <f>VLOOKUP(F29,'Domain별 코드 체계'!$B$5:$J$29,7,0)</f>
        <v>GE21</v>
      </c>
      <c r="H29" s="92" t="s">
        <v>660</v>
      </c>
      <c r="I29" s="8" t="str">
        <f t="shared" si="70"/>
        <v>P-GE21-O</v>
      </c>
      <c r="J29" s="8" t="s">
        <v>662</v>
      </c>
      <c r="K29" s="81">
        <v>1</v>
      </c>
      <c r="L29" s="72" t="str">
        <f t="shared" si="71"/>
        <v>P-GE21-O-S11</v>
      </c>
      <c r="M29" s="74" t="str">
        <f>IF(J29="S",9, "8")&amp;VLOOKUP(G29,'WAS Domain'!$E$11:$I$25,3,0)&amp;VLOOKUP(G29,'WAS Domain'!$E$11:$I$25,4,0)&amp;VLOOKUP(G29,'WAS Domain'!$E$11:$I$25,5,0)</f>
        <v>9241</v>
      </c>
      <c r="N29" s="74">
        <f t="shared" si="12"/>
        <v>9684</v>
      </c>
      <c r="O29" s="74" t="str">
        <f>VLOOKUP(G29,'WAS Domain'!$E$11:$I$25,2,0)&amp;VLOOKUP(G29,'WAS Domain'!$E$11:$I$25,3,0)&amp;VLOOKUP(G29,'WAS Domain'!$E$11:$I$25,4,0)&amp;VLOOKUP(G29,'WAS Domain'!$E$11:$I$25,5,0)&amp;IF(J29="A",0,IF(J29="F",K29,IF(LEFT(G29,3)="FWM",K29,9)))</f>
        <v>12419</v>
      </c>
      <c r="P29" s="73">
        <f t="shared" si="44"/>
        <v>12348</v>
      </c>
      <c r="Q29" s="73">
        <f t="shared" si="45"/>
        <v>14329</v>
      </c>
      <c r="R29" s="73">
        <f t="shared" si="15"/>
        <v>14338</v>
      </c>
      <c r="S29" s="73">
        <f t="shared" si="46"/>
        <v>4339</v>
      </c>
      <c r="T29" s="72" t="s">
        <v>553</v>
      </c>
      <c r="U29" s="72" t="str">
        <f t="shared" si="72"/>
        <v>P-GE21-O-A11</v>
      </c>
      <c r="V29" s="72">
        <f t="shared" si="73"/>
        <v>1024</v>
      </c>
      <c r="W29" s="72">
        <f t="shared" si="74"/>
        <v>256</v>
      </c>
      <c r="X29" s="72">
        <f t="shared" si="75"/>
        <v>256</v>
      </c>
      <c r="Y29" s="72">
        <f t="shared" si="76"/>
        <v>256</v>
      </c>
      <c r="Z29" s="72">
        <f t="shared" si="77"/>
        <v>256</v>
      </c>
      <c r="AA29" s="81" t="s">
        <v>215</v>
      </c>
      <c r="AB29" s="72" t="str">
        <f t="shared" si="9"/>
        <v>/ge2/ge21/wasAdminApp</v>
      </c>
      <c r="AC29" s="72" t="str">
        <f t="shared" si="78"/>
        <v>/log/jboss7/P-GE21-O/P-GE21-O-S11</v>
      </c>
      <c r="AD29" s="81" t="s">
        <v>289</v>
      </c>
      <c r="AE29" s="16" t="s">
        <v>290</v>
      </c>
      <c r="AF29" s="16">
        <v>9998</v>
      </c>
      <c r="AG29" s="72"/>
    </row>
    <row r="30" spans="1:33" s="66" customFormat="1" ht="16.5" customHeight="1">
      <c r="A30" s="8" t="s">
        <v>12</v>
      </c>
      <c r="B30" s="81" t="s">
        <v>445</v>
      </c>
      <c r="C30" s="8">
        <v>1</v>
      </c>
      <c r="D30" s="67" t="s">
        <v>501</v>
      </c>
      <c r="E30" s="67" t="str">
        <f t="shared" si="69"/>
        <v>picoap01</v>
      </c>
      <c r="F30" s="9" t="s">
        <v>406</v>
      </c>
      <c r="G30" s="39" t="str">
        <f>VLOOKUP(F30,'Domain별 코드 체계'!$B$5:$J$29,7,0)</f>
        <v>MS71</v>
      </c>
      <c r="H30" s="67" t="s">
        <v>5</v>
      </c>
      <c r="I30" s="8" t="str">
        <f t="shared" si="70"/>
        <v>P-MS71-O</v>
      </c>
      <c r="J30" s="8" t="s">
        <v>291</v>
      </c>
      <c r="K30" s="81">
        <v>1</v>
      </c>
      <c r="L30" s="72" t="str">
        <f t="shared" si="71"/>
        <v>P-MS71-O-F11</v>
      </c>
      <c r="M30" s="74" t="str">
        <f>IF(J30="S",9, "8")&amp;VLOOKUP(G30,'WAS Domain'!$E$11:$I$25,3,0)&amp;VLOOKUP(G30,'WAS Domain'!$E$11:$I$25,4,0)&amp;VLOOKUP(G30,'WAS Domain'!$E$11:$I$25,5,0)</f>
        <v>8251</v>
      </c>
      <c r="N30" s="74">
        <f t="shared" si="12"/>
        <v>8694</v>
      </c>
      <c r="O30" s="74" t="str">
        <f>VLOOKUP(G30,'WAS Domain'!$E$11:$I$25,2,0)&amp;VLOOKUP(G30,'WAS Domain'!$E$11:$I$25,3,0)&amp;VLOOKUP(G30,'WAS Domain'!$E$11:$I$25,4,0)&amp;VLOOKUP(G30,'WAS Domain'!$E$11:$I$25,5,0)&amp;IF(J30="A",0,IF(J30="F",K30,IF(LEFT(G30,3)="FWM",K30,9)))</f>
        <v>12511</v>
      </c>
      <c r="P30" s="73">
        <f t="shared" si="44"/>
        <v>12440</v>
      </c>
      <c r="Q30" s="73">
        <f t="shared" si="45"/>
        <v>14421</v>
      </c>
      <c r="R30" s="73">
        <f t="shared" si="15"/>
        <v>14430</v>
      </c>
      <c r="S30" s="73">
        <f t="shared" si="46"/>
        <v>4431</v>
      </c>
      <c r="T30" s="72" t="s">
        <v>518</v>
      </c>
      <c r="U30" s="72" t="str">
        <f t="shared" si="72"/>
        <v>P-MS71-O-A11</v>
      </c>
      <c r="V30" s="72">
        <f t="shared" si="73"/>
        <v>2048</v>
      </c>
      <c r="W30" s="72">
        <f t="shared" si="74"/>
        <v>768</v>
      </c>
      <c r="X30" s="72">
        <f t="shared" si="75"/>
        <v>768</v>
      </c>
      <c r="Y30" s="72">
        <f t="shared" si="76"/>
        <v>512</v>
      </c>
      <c r="Z30" s="72">
        <f t="shared" si="77"/>
        <v>512</v>
      </c>
      <c r="AA30" s="81" t="s">
        <v>215</v>
      </c>
      <c r="AB30" s="72" t="str">
        <f t="shared" si="9"/>
        <v>/ms7/ms71/wasApp</v>
      </c>
      <c r="AC30" s="72" t="str">
        <f t="shared" si="78"/>
        <v>/log/jboss7/P-MS71-O/P-MS71-O-F11</v>
      </c>
      <c r="AD30" s="81" t="s">
        <v>289</v>
      </c>
      <c r="AE30" s="16" t="s">
        <v>290</v>
      </c>
      <c r="AF30" s="16">
        <v>9998</v>
      </c>
      <c r="AG30" s="72"/>
    </row>
    <row r="31" spans="1:33" s="66" customFormat="1" ht="16.5" customHeight="1">
      <c r="A31" s="8" t="s">
        <v>12</v>
      </c>
      <c r="B31" s="81" t="s">
        <v>445</v>
      </c>
      <c r="C31" s="8">
        <v>1</v>
      </c>
      <c r="D31" s="67" t="s">
        <v>501</v>
      </c>
      <c r="E31" s="67" t="str">
        <f t="shared" si="69"/>
        <v>picoap01</v>
      </c>
      <c r="F31" s="9" t="s">
        <v>406</v>
      </c>
      <c r="G31" s="39" t="str">
        <f>VLOOKUP(F31,'Domain별 코드 체계'!$B$5:$J$29,7,0)</f>
        <v>MS71</v>
      </c>
      <c r="H31" s="67" t="s">
        <v>5</v>
      </c>
      <c r="I31" s="8" t="str">
        <f t="shared" si="70"/>
        <v>P-MS71-O</v>
      </c>
      <c r="J31" s="8" t="s">
        <v>291</v>
      </c>
      <c r="K31" s="81">
        <v>2</v>
      </c>
      <c r="L31" s="72" t="str">
        <f t="shared" si="71"/>
        <v>P-MS71-O-F12</v>
      </c>
      <c r="M31" s="152" t="str">
        <f>IF(J31="S",9, "8")&amp;VLOOKUP(G31,'WAS Domain'!$E$11:$I$25,3,0)&amp;VLOOKUP(G31,'WAS Domain'!$E$11:$I$25,4,0)&amp;VLOOKUP(G31,'WAS Domain'!$E$11:$I$25,5,0)</f>
        <v>8251</v>
      </c>
      <c r="N31" s="74">
        <f t="shared" si="12"/>
        <v>8694</v>
      </c>
      <c r="O31" s="74" t="str">
        <f>VLOOKUP(G31,'WAS Domain'!$E$11:$I$25,2,0)&amp;VLOOKUP(G31,'WAS Domain'!$E$11:$I$25,3,0)&amp;VLOOKUP(G31,'WAS Domain'!$E$11:$I$25,4,0)&amp;VLOOKUP(G31,'WAS Domain'!$E$11:$I$25,5,0)&amp;IF(J31="A",0,IF(J31="F",K31,IF(LEFT(G31,3)="FWM",K31,9)))</f>
        <v>12512</v>
      </c>
      <c r="P31" s="73">
        <f t="shared" si="44"/>
        <v>12441</v>
      </c>
      <c r="Q31" s="73">
        <f t="shared" si="45"/>
        <v>14422</v>
      </c>
      <c r="R31" s="73">
        <f t="shared" si="15"/>
        <v>14431</v>
      </c>
      <c r="S31" s="73">
        <f t="shared" si="46"/>
        <v>4432</v>
      </c>
      <c r="T31" s="72" t="s">
        <v>519</v>
      </c>
      <c r="U31" s="72" t="str">
        <f t="shared" si="72"/>
        <v>P-MS71-O-A11</v>
      </c>
      <c r="V31" s="72">
        <f t="shared" si="73"/>
        <v>2048</v>
      </c>
      <c r="W31" s="72">
        <f t="shared" si="74"/>
        <v>768</v>
      </c>
      <c r="X31" s="72">
        <f t="shared" si="75"/>
        <v>768</v>
      </c>
      <c r="Y31" s="72">
        <f t="shared" si="76"/>
        <v>512</v>
      </c>
      <c r="Z31" s="72">
        <f t="shared" si="77"/>
        <v>512</v>
      </c>
      <c r="AA31" s="81" t="s">
        <v>215</v>
      </c>
      <c r="AB31" s="72" t="str">
        <f t="shared" si="9"/>
        <v>/ms7/ms71/wasApp</v>
      </c>
      <c r="AC31" s="72" t="str">
        <f t="shared" si="78"/>
        <v>/log/jboss7/P-MS71-O/P-MS71-O-F12</v>
      </c>
      <c r="AD31" s="81" t="s">
        <v>289</v>
      </c>
      <c r="AE31" s="16" t="s">
        <v>290</v>
      </c>
      <c r="AF31" s="16">
        <v>9998</v>
      </c>
      <c r="AG31" s="72"/>
    </row>
    <row r="32" spans="1:33" s="66" customFormat="1" ht="16.5" customHeight="1">
      <c r="A32" s="8" t="s">
        <v>12</v>
      </c>
      <c r="B32" s="81" t="s">
        <v>447</v>
      </c>
      <c r="C32" s="8">
        <v>1</v>
      </c>
      <c r="D32" s="67" t="s">
        <v>501</v>
      </c>
      <c r="E32" s="67" t="str">
        <f t="shared" si="69"/>
        <v>picoap01</v>
      </c>
      <c r="F32" s="9" t="s">
        <v>520</v>
      </c>
      <c r="G32" s="39" t="str">
        <f>VLOOKUP(F32,'Domain별 코드 체계'!$B$5:$J$29,7,0)</f>
        <v>WO11</v>
      </c>
      <c r="H32" s="92" t="s">
        <v>660</v>
      </c>
      <c r="I32" s="8" t="str">
        <f t="shared" si="70"/>
        <v>P-WO11-O</v>
      </c>
      <c r="J32" s="8" t="s">
        <v>664</v>
      </c>
      <c r="K32" s="81">
        <v>1</v>
      </c>
      <c r="L32" s="72" t="str">
        <f t="shared" si="71"/>
        <v>P-WO11-O-F11</v>
      </c>
      <c r="M32" s="74" t="str">
        <f>IF(J32="S",9, "8")&amp;VLOOKUP(G32,'WAS Domain'!$E$11:$I$25,3,0)&amp;VLOOKUP(G32,'WAS Domain'!$E$11:$I$25,4,0)&amp;VLOOKUP(G32,'WAS Domain'!$E$11:$I$25,5,0)</f>
        <v>8271</v>
      </c>
      <c r="N32" s="74">
        <f t="shared" si="12"/>
        <v>8714</v>
      </c>
      <c r="O32" s="74" t="str">
        <f>VLOOKUP(G32,'WAS Domain'!$E$11:$I$25,2,0)&amp;VLOOKUP(G32,'WAS Domain'!$E$11:$I$25,3,0)&amp;VLOOKUP(G32,'WAS Domain'!$E$11:$I$25,4,0)&amp;VLOOKUP(G32,'WAS Domain'!$E$11:$I$25,5,0)&amp;IF(J32="A",0,IF(J32="F",K32,IF(LEFT(G32,3)="FWM",K32,9)))</f>
        <v>12711</v>
      </c>
      <c r="P32" s="73">
        <f t="shared" si="44"/>
        <v>12640</v>
      </c>
      <c r="Q32" s="73">
        <f t="shared" si="45"/>
        <v>14621</v>
      </c>
      <c r="R32" s="73">
        <f t="shared" si="15"/>
        <v>14630</v>
      </c>
      <c r="S32" s="73">
        <f t="shared" si="46"/>
        <v>4631</v>
      </c>
      <c r="T32" s="72" t="s">
        <v>521</v>
      </c>
      <c r="U32" s="72" t="str">
        <f t="shared" si="72"/>
        <v>P-WO11-O-A11</v>
      </c>
      <c r="V32" s="72">
        <f t="shared" si="73"/>
        <v>2048</v>
      </c>
      <c r="W32" s="72">
        <f t="shared" si="74"/>
        <v>768</v>
      </c>
      <c r="X32" s="72">
        <f t="shared" si="75"/>
        <v>768</v>
      </c>
      <c r="Y32" s="72">
        <f t="shared" si="76"/>
        <v>512</v>
      </c>
      <c r="Z32" s="72">
        <f t="shared" si="77"/>
        <v>512</v>
      </c>
      <c r="AA32" s="81" t="s">
        <v>215</v>
      </c>
      <c r="AB32" s="72" t="str">
        <f t="shared" si="9"/>
        <v>/wo1/wo11/wasApp</v>
      </c>
      <c r="AC32" s="72" t="str">
        <f t="shared" si="78"/>
        <v>/log/jboss7/P-WO11-O/P-WO11-O-F11</v>
      </c>
      <c r="AD32" s="81" t="s">
        <v>289</v>
      </c>
      <c r="AE32" s="16" t="s">
        <v>290</v>
      </c>
      <c r="AF32" s="16">
        <v>9998</v>
      </c>
      <c r="AG32" s="72"/>
    </row>
    <row r="33" spans="1:33" s="66" customFormat="1" ht="16.5" customHeight="1">
      <c r="A33" s="8" t="s">
        <v>12</v>
      </c>
      <c r="B33" s="81" t="s">
        <v>447</v>
      </c>
      <c r="C33" s="8">
        <v>1</v>
      </c>
      <c r="D33" s="67" t="s">
        <v>501</v>
      </c>
      <c r="E33" s="67" t="str">
        <f t="shared" si="69"/>
        <v>picoap01</v>
      </c>
      <c r="F33" s="9" t="s">
        <v>506</v>
      </c>
      <c r="G33" s="39" t="str">
        <f>VLOOKUP(F33,'Domain별 코드 체계'!$B$5:$J$29,7,0)</f>
        <v>WO12</v>
      </c>
      <c r="H33" s="92" t="s">
        <v>660</v>
      </c>
      <c r="I33" s="8" t="str">
        <f t="shared" si="70"/>
        <v>P-WO12-O</v>
      </c>
      <c r="J33" s="8" t="s">
        <v>662</v>
      </c>
      <c r="K33" s="81">
        <v>1</v>
      </c>
      <c r="L33" s="72" t="str">
        <f t="shared" si="71"/>
        <v>P-WO12-O-S11</v>
      </c>
      <c r="M33" s="74" t="str">
        <f>IF(J33="S",9, "8")&amp;VLOOKUP(G33,'WAS Domain'!$E$11:$I$25,3,0)&amp;VLOOKUP(G33,'WAS Domain'!$E$11:$I$25,4,0)&amp;VLOOKUP(G33,'WAS Domain'!$E$11:$I$25,5,0)</f>
        <v>9272</v>
      </c>
      <c r="N33" s="74">
        <f t="shared" si="12"/>
        <v>9715</v>
      </c>
      <c r="O33" s="74" t="str">
        <f>VLOOKUP(G33,'WAS Domain'!$E$11:$I$25,2,0)&amp;VLOOKUP(G33,'WAS Domain'!$E$11:$I$25,3,0)&amp;VLOOKUP(G33,'WAS Domain'!$E$11:$I$25,4,0)&amp;VLOOKUP(G33,'WAS Domain'!$E$11:$I$25,5,0)&amp;IF(J33="A",0,IF(J33="F",K33,IF(LEFT(G33,3)="FWM",K33,9)))</f>
        <v>12729</v>
      </c>
      <c r="P33" s="73">
        <f t="shared" si="44"/>
        <v>12658</v>
      </c>
      <c r="Q33" s="73">
        <f t="shared" si="45"/>
        <v>14639</v>
      </c>
      <c r="R33" s="73">
        <f t="shared" si="15"/>
        <v>14648</v>
      </c>
      <c r="S33" s="73">
        <f t="shared" si="46"/>
        <v>4649</v>
      </c>
      <c r="T33" s="72" t="s">
        <v>522</v>
      </c>
      <c r="U33" s="72" t="str">
        <f t="shared" si="72"/>
        <v>P-WO12-O-A11</v>
      </c>
      <c r="V33" s="72">
        <f t="shared" si="73"/>
        <v>1024</v>
      </c>
      <c r="W33" s="72">
        <f t="shared" si="74"/>
        <v>256</v>
      </c>
      <c r="X33" s="72">
        <f t="shared" si="75"/>
        <v>256</v>
      </c>
      <c r="Y33" s="72">
        <f t="shared" si="76"/>
        <v>256</v>
      </c>
      <c r="Z33" s="72">
        <f t="shared" si="77"/>
        <v>256</v>
      </c>
      <c r="AA33" s="81" t="s">
        <v>215</v>
      </c>
      <c r="AB33" s="72" t="str">
        <f t="shared" si="9"/>
        <v>/wo1/wo12/wasAdminApp</v>
      </c>
      <c r="AC33" s="72" t="str">
        <f t="shared" si="78"/>
        <v>/log/jboss7/P-WO12-O/P-WO12-O-S11</v>
      </c>
      <c r="AD33" s="81" t="s">
        <v>289</v>
      </c>
      <c r="AE33" s="16" t="s">
        <v>290</v>
      </c>
      <c r="AF33" s="16">
        <v>9998</v>
      </c>
      <c r="AG33" s="72"/>
    </row>
    <row r="34" spans="1:33" s="66" customFormat="1" ht="16.5" customHeight="1" thickBot="1">
      <c r="A34" s="91" t="s">
        <v>12</v>
      </c>
      <c r="B34" s="94" t="s">
        <v>447</v>
      </c>
      <c r="C34" s="91">
        <v>1</v>
      </c>
      <c r="D34" s="92" t="s">
        <v>501</v>
      </c>
      <c r="E34" s="92" t="str">
        <f t="shared" si="69"/>
        <v>picoap01</v>
      </c>
      <c r="F34" s="89" t="s">
        <v>507</v>
      </c>
      <c r="G34" s="93" t="str">
        <f>VLOOKUP(F34,'Domain별 코드 체계'!$B$5:$J$29,7,0)</f>
        <v>WO13</v>
      </c>
      <c r="H34" s="92" t="s">
        <v>660</v>
      </c>
      <c r="I34" s="91" t="str">
        <f t="shared" si="70"/>
        <v>P-WO13-O</v>
      </c>
      <c r="J34" s="91" t="s">
        <v>662</v>
      </c>
      <c r="K34" s="94">
        <v>2</v>
      </c>
      <c r="L34" s="95" t="str">
        <f t="shared" si="71"/>
        <v>P-WO13-O-S12</v>
      </c>
      <c r="M34" s="131" t="str">
        <f>IF(J34="S",9, "8")&amp;VLOOKUP(G34,'WAS Domain'!$E$11:$I$25,3,0)&amp;VLOOKUP(G34,'WAS Domain'!$E$11:$I$25,4,0)&amp;VLOOKUP(G34,'WAS Domain'!$E$11:$I$25,5,0)</f>
        <v>9273</v>
      </c>
      <c r="N34" s="131">
        <f t="shared" si="12"/>
        <v>9716</v>
      </c>
      <c r="O34" s="131" t="str">
        <f>VLOOKUP(G34,'WAS Domain'!$E$11:$I$25,2,0)&amp;VLOOKUP(G34,'WAS Domain'!$E$11:$I$25,3,0)&amp;VLOOKUP(G34,'WAS Domain'!$E$11:$I$25,4,0)&amp;VLOOKUP(G34,'WAS Domain'!$E$11:$I$25,5,0)&amp;IF(J34="A",0,IF(J34="F",K34,IF(LEFT(G34,3)="FWM",K34,9)))</f>
        <v>12739</v>
      </c>
      <c r="P34" s="96">
        <f t="shared" si="44"/>
        <v>12668</v>
      </c>
      <c r="Q34" s="96">
        <f t="shared" si="45"/>
        <v>14649</v>
      </c>
      <c r="R34" s="96">
        <f t="shared" si="15"/>
        <v>14658</v>
      </c>
      <c r="S34" s="96">
        <f t="shared" si="46"/>
        <v>4659</v>
      </c>
      <c r="T34" s="95" t="s">
        <v>523</v>
      </c>
      <c r="U34" s="95" t="str">
        <f t="shared" si="72"/>
        <v>P-WO13-O-A11</v>
      </c>
      <c r="V34" s="95">
        <f t="shared" si="73"/>
        <v>1024</v>
      </c>
      <c r="W34" s="95">
        <f t="shared" si="74"/>
        <v>256</v>
      </c>
      <c r="X34" s="95">
        <f t="shared" si="75"/>
        <v>256</v>
      </c>
      <c r="Y34" s="95">
        <f t="shared" si="76"/>
        <v>256</v>
      </c>
      <c r="Z34" s="95">
        <f t="shared" si="77"/>
        <v>256</v>
      </c>
      <c r="AA34" s="94" t="s">
        <v>215</v>
      </c>
      <c r="AB34" s="72" t="str">
        <f t="shared" si="9"/>
        <v>/wo1/wo13/wasAdminApp</v>
      </c>
      <c r="AC34" s="95" t="str">
        <f t="shared" si="78"/>
        <v>/log/jboss7/P-WO13-O/P-WO13-O-S12</v>
      </c>
      <c r="AD34" s="94" t="s">
        <v>289</v>
      </c>
      <c r="AE34" s="97" t="s">
        <v>290</v>
      </c>
      <c r="AF34" s="97">
        <v>9998</v>
      </c>
      <c r="AG34" s="95"/>
    </row>
    <row r="35" spans="1:33" s="66" customFormat="1" ht="16.5" customHeight="1">
      <c r="A35" s="104" t="s">
        <v>12</v>
      </c>
      <c r="B35" s="109" t="s">
        <v>438</v>
      </c>
      <c r="C35" s="105">
        <v>2</v>
      </c>
      <c r="D35" s="106" t="s">
        <v>528</v>
      </c>
      <c r="E35" s="106" t="str">
        <f>CONCATENATE(A35,"ico","ap0",C35)</f>
        <v>picoap02</v>
      </c>
      <c r="F35" s="107" t="s">
        <v>500</v>
      </c>
      <c r="G35" s="108" t="str">
        <f>VLOOKUP(F35,'Domain별 코드 체계'!$B$5:$J$29,7,0)</f>
        <v>BE11</v>
      </c>
      <c r="H35" s="106" t="s">
        <v>5</v>
      </c>
      <c r="I35" s="105" t="str">
        <f t="shared" si="70"/>
        <v>P-BE11-O</v>
      </c>
      <c r="J35" s="8" t="s">
        <v>291</v>
      </c>
      <c r="K35" s="144">
        <v>1</v>
      </c>
      <c r="L35" s="110" t="str">
        <f t="shared" si="71"/>
        <v>P-BE11-O-F21</v>
      </c>
      <c r="M35" s="150" t="str">
        <f>IF(J35="S",9, "8")&amp;VLOOKUP(G35,'WAS Domain'!$E$11:$I$25,3,0)&amp;VLOOKUP(G35,'WAS Domain'!$E$11:$I$25,4,0)&amp;VLOOKUP(G35,'WAS Domain'!$E$11:$I$25,5,0)</f>
        <v>8231</v>
      </c>
      <c r="N35" s="150">
        <f t="shared" si="12"/>
        <v>8674</v>
      </c>
      <c r="O35" s="150" t="str">
        <f>VLOOKUP(G35,'WAS Domain'!$E$11:$I$25,2,0)&amp;VLOOKUP(G35,'WAS Domain'!$E$11:$I$25,3,0)&amp;VLOOKUP(G35,'WAS Domain'!$E$11:$I$25,4,0)&amp;VLOOKUP(G35,'WAS Domain'!$E$11:$I$25,5,0)&amp;IF(J35="A",0,IF(J35="F",K35,IF(LEFT(G35,3)="FWM",K35,9)))</f>
        <v>12311</v>
      </c>
      <c r="P35" s="111">
        <f t="shared" ref="P35:P51" si="79">S35+8009</f>
        <v>12240</v>
      </c>
      <c r="Q35" s="111">
        <f t="shared" ref="Q35:Q51" si="80">S35+9990</f>
        <v>14221</v>
      </c>
      <c r="R35" s="111">
        <f t="shared" si="15"/>
        <v>14230</v>
      </c>
      <c r="S35" s="111">
        <f t="shared" ref="S35:S51" si="81">O35-8080</f>
        <v>4231</v>
      </c>
      <c r="T35" s="110" t="s">
        <v>509</v>
      </c>
      <c r="U35" s="110" t="str">
        <f t="shared" si="72"/>
        <v>P-BE11-O-A11</v>
      </c>
      <c r="V35" s="110">
        <f t="shared" si="73"/>
        <v>2048</v>
      </c>
      <c r="W35" s="110">
        <f t="shared" si="74"/>
        <v>768</v>
      </c>
      <c r="X35" s="110">
        <f t="shared" si="75"/>
        <v>768</v>
      </c>
      <c r="Y35" s="110">
        <f t="shared" si="76"/>
        <v>512</v>
      </c>
      <c r="Z35" s="110">
        <f t="shared" si="77"/>
        <v>512</v>
      </c>
      <c r="AA35" s="109" t="s">
        <v>215</v>
      </c>
      <c r="AB35" s="72" t="str">
        <f t="shared" si="9"/>
        <v>/be1/be11/wasApp</v>
      </c>
      <c r="AC35" s="110" t="str">
        <f>CONCATENATE("/log/jboss7/",I35,"/",L35)</f>
        <v>/log/jboss7/P-BE11-O/P-BE11-O-F21</v>
      </c>
      <c r="AD35" s="109" t="s">
        <v>289</v>
      </c>
      <c r="AE35" s="112" t="s">
        <v>290</v>
      </c>
      <c r="AF35" s="112">
        <v>9998</v>
      </c>
      <c r="AG35" s="113"/>
    </row>
    <row r="36" spans="1:33" s="66" customFormat="1" ht="16.5" customHeight="1">
      <c r="A36" s="114" t="s">
        <v>12</v>
      </c>
      <c r="B36" s="81" t="s">
        <v>438</v>
      </c>
      <c r="C36" s="8">
        <v>2</v>
      </c>
      <c r="D36" s="67" t="s">
        <v>528</v>
      </c>
      <c r="E36" s="67" t="str">
        <f>CONCATENATE(A36,"ico","ap0",C36)</f>
        <v>picoap02</v>
      </c>
      <c r="F36" s="9" t="s">
        <v>500</v>
      </c>
      <c r="G36" s="39" t="str">
        <f>VLOOKUP(F36,'Domain별 코드 체계'!$B$5:$J$29,7,0)</f>
        <v>BE11</v>
      </c>
      <c r="H36" s="67" t="s">
        <v>5</v>
      </c>
      <c r="I36" s="8" t="str">
        <f t="shared" si="70"/>
        <v>P-BE11-O</v>
      </c>
      <c r="J36" s="8" t="s">
        <v>291</v>
      </c>
      <c r="K36" s="144">
        <v>2</v>
      </c>
      <c r="L36" s="72" t="str">
        <f t="shared" si="71"/>
        <v>P-BE11-O-F22</v>
      </c>
      <c r="M36" s="152" t="str">
        <f>IF(J36="S",9, "8")&amp;VLOOKUP(G36,'WAS Domain'!$E$11:$I$25,3,0)&amp;VLOOKUP(G36,'WAS Domain'!$E$11:$I$25,4,0)&amp;VLOOKUP(G36,'WAS Domain'!$E$11:$I$25,5,0)</f>
        <v>8231</v>
      </c>
      <c r="N36" s="74">
        <f t="shared" si="12"/>
        <v>8674</v>
      </c>
      <c r="O36" s="74" t="str">
        <f>VLOOKUP(G36,'WAS Domain'!$E$11:$I$25,2,0)&amp;VLOOKUP(G36,'WAS Domain'!$E$11:$I$25,3,0)&amp;VLOOKUP(G36,'WAS Domain'!$E$11:$I$25,4,0)&amp;VLOOKUP(G36,'WAS Domain'!$E$11:$I$25,5,0)&amp;IF(J36="A",0,IF(J36="F",K36,IF(LEFT(G36,3)="FWM",K36,9)))</f>
        <v>12312</v>
      </c>
      <c r="P36" s="73">
        <f t="shared" si="79"/>
        <v>12241</v>
      </c>
      <c r="Q36" s="73">
        <f t="shared" si="80"/>
        <v>14222</v>
      </c>
      <c r="R36" s="73">
        <f t="shared" si="15"/>
        <v>14231</v>
      </c>
      <c r="S36" s="73">
        <f t="shared" si="81"/>
        <v>4232</v>
      </c>
      <c r="T36" s="72" t="s">
        <v>508</v>
      </c>
      <c r="U36" s="72" t="str">
        <f t="shared" si="72"/>
        <v>P-BE11-O-A11</v>
      </c>
      <c r="V36" s="72">
        <f t="shared" si="73"/>
        <v>2048</v>
      </c>
      <c r="W36" s="72">
        <f t="shared" si="74"/>
        <v>768</v>
      </c>
      <c r="X36" s="72">
        <f t="shared" si="75"/>
        <v>768</v>
      </c>
      <c r="Y36" s="72">
        <f t="shared" si="76"/>
        <v>512</v>
      </c>
      <c r="Z36" s="72">
        <f t="shared" si="77"/>
        <v>512</v>
      </c>
      <c r="AA36" s="81" t="s">
        <v>215</v>
      </c>
      <c r="AB36" s="72" t="str">
        <f t="shared" si="9"/>
        <v>/be1/be11/wasApp</v>
      </c>
      <c r="AC36" s="72" t="str">
        <f>CONCATENATE("/log/jboss7/",I36,"/",L36)</f>
        <v>/log/jboss7/P-BE11-O/P-BE11-O-F22</v>
      </c>
      <c r="AD36" s="81" t="s">
        <v>289</v>
      </c>
      <c r="AE36" s="16" t="s">
        <v>290</v>
      </c>
      <c r="AF36" s="16">
        <v>9998</v>
      </c>
      <c r="AG36" s="115"/>
    </row>
    <row r="37" spans="1:33" s="66" customFormat="1" ht="16.5" customHeight="1">
      <c r="A37" s="114" t="s">
        <v>12</v>
      </c>
      <c r="B37" s="8" t="s">
        <v>452</v>
      </c>
      <c r="C37" s="8">
        <v>2</v>
      </c>
      <c r="D37" s="67" t="s">
        <v>528</v>
      </c>
      <c r="E37" s="67" t="str">
        <f>CONCATENATE(A37,"ico","ap0",C37)</f>
        <v>picoap02</v>
      </c>
      <c r="F37" s="9" t="s">
        <v>510</v>
      </c>
      <c r="G37" s="39" t="str">
        <f>VLOOKUP(F37,'Domain별 코드 체계'!$B$5:$J$29,7,0)</f>
        <v>PQ11</v>
      </c>
      <c r="H37" s="67" t="s">
        <v>5</v>
      </c>
      <c r="I37" s="8" t="str">
        <f t="shared" si="70"/>
        <v>P-PQ11-O</v>
      </c>
      <c r="J37" s="8" t="s">
        <v>291</v>
      </c>
      <c r="K37" s="144">
        <v>1</v>
      </c>
      <c r="L37" s="72" t="str">
        <f t="shared" si="71"/>
        <v>P-PQ11-O-F21</v>
      </c>
      <c r="M37" s="74" t="str">
        <f>IF(J37="S",9, "8")&amp;VLOOKUP(G37,'WAS Domain'!$E$11:$I$25,3,0)&amp;VLOOKUP(G37,'WAS Domain'!$E$11:$I$25,4,0)&amp;VLOOKUP(G37,'WAS Domain'!$E$11:$I$25,5,0)</f>
        <v>8221</v>
      </c>
      <c r="N37" s="74">
        <f t="shared" si="12"/>
        <v>8664</v>
      </c>
      <c r="O37" s="74" t="str">
        <f>VLOOKUP(G37,'WAS Domain'!$E$11:$I$25,2,0)&amp;VLOOKUP(G37,'WAS Domain'!$E$11:$I$25,3,0)&amp;VLOOKUP(G37,'WAS Domain'!$E$11:$I$25,4,0)&amp;VLOOKUP(G37,'WAS Domain'!$E$11:$I$25,5,0)&amp;IF(J37="A",0,IF(J37="F",K37,IF(LEFT(G37,3)="FWM",K37,9)))</f>
        <v>12211</v>
      </c>
      <c r="P37" s="73">
        <f t="shared" si="79"/>
        <v>12140</v>
      </c>
      <c r="Q37" s="73">
        <f t="shared" si="80"/>
        <v>14121</v>
      </c>
      <c r="R37" s="73">
        <f t="shared" si="15"/>
        <v>14130</v>
      </c>
      <c r="S37" s="73">
        <f t="shared" si="81"/>
        <v>4131</v>
      </c>
      <c r="T37" s="72" t="s">
        <v>511</v>
      </c>
      <c r="U37" s="72" t="str">
        <f t="shared" si="72"/>
        <v>P-PQ11-O-A11</v>
      </c>
      <c r="V37" s="72">
        <f t="shared" si="73"/>
        <v>2048</v>
      </c>
      <c r="W37" s="72">
        <f t="shared" si="74"/>
        <v>768</v>
      </c>
      <c r="X37" s="72">
        <f t="shared" si="75"/>
        <v>768</v>
      </c>
      <c r="Y37" s="72">
        <f t="shared" si="76"/>
        <v>512</v>
      </c>
      <c r="Z37" s="72">
        <f t="shared" si="77"/>
        <v>512</v>
      </c>
      <c r="AA37" s="81" t="s">
        <v>215</v>
      </c>
      <c r="AB37" s="72" t="str">
        <f t="shared" si="9"/>
        <v>/pq1/pq11/wasApp</v>
      </c>
      <c r="AC37" s="72" t="str">
        <f>CONCATENATE("/log/jboss7/",I37,"/",L37)</f>
        <v>/log/jboss7/P-PQ11-O/P-PQ11-O-F21</v>
      </c>
      <c r="AD37" s="81" t="s">
        <v>289</v>
      </c>
      <c r="AE37" s="16" t="s">
        <v>290</v>
      </c>
      <c r="AF37" s="16">
        <v>9998</v>
      </c>
      <c r="AG37" s="115"/>
    </row>
    <row r="38" spans="1:33" s="66" customFormat="1" ht="16.5" customHeight="1">
      <c r="A38" s="114" t="s">
        <v>12</v>
      </c>
      <c r="B38" s="8" t="s">
        <v>452</v>
      </c>
      <c r="C38" s="8">
        <v>2</v>
      </c>
      <c r="D38" s="67" t="s">
        <v>528</v>
      </c>
      <c r="E38" s="67" t="str">
        <f>CONCATENATE(A38,"ico","ap0",C38)</f>
        <v>picoap02</v>
      </c>
      <c r="F38" s="9" t="s">
        <v>504</v>
      </c>
      <c r="G38" s="39" t="str">
        <f>VLOOKUP(F38,'Domain별 코드 체계'!$B$5:$J$29,7,0)</f>
        <v>PQ11</v>
      </c>
      <c r="H38" s="67" t="s">
        <v>5</v>
      </c>
      <c r="I38" s="8" t="str">
        <f t="shared" si="70"/>
        <v>P-PQ11-O</v>
      </c>
      <c r="J38" s="8" t="s">
        <v>291</v>
      </c>
      <c r="K38" s="144">
        <v>2</v>
      </c>
      <c r="L38" s="72" t="str">
        <f t="shared" si="71"/>
        <v>P-PQ11-O-F22</v>
      </c>
      <c r="M38" s="152" t="str">
        <f>IF(J38="S",9, "8")&amp;VLOOKUP(G38,'WAS Domain'!$E$11:$I$25,3,0)&amp;VLOOKUP(G38,'WAS Domain'!$E$11:$I$25,4,0)&amp;VLOOKUP(G38,'WAS Domain'!$E$11:$I$25,5,0)</f>
        <v>8221</v>
      </c>
      <c r="N38" s="74">
        <f t="shared" si="12"/>
        <v>8664</v>
      </c>
      <c r="O38" s="74" t="str">
        <f>VLOOKUP(G38,'WAS Domain'!$E$11:$I$25,2,0)&amp;VLOOKUP(G38,'WAS Domain'!$E$11:$I$25,3,0)&amp;VLOOKUP(G38,'WAS Domain'!$E$11:$I$25,4,0)&amp;VLOOKUP(G38,'WAS Domain'!$E$11:$I$25,5,0)&amp;IF(J38="A",0,IF(J38="F",K38,IF(LEFT(G38,3)="FWM",K38,9)))</f>
        <v>12212</v>
      </c>
      <c r="P38" s="73">
        <f t="shared" si="79"/>
        <v>12141</v>
      </c>
      <c r="Q38" s="73">
        <f t="shared" si="80"/>
        <v>14122</v>
      </c>
      <c r="R38" s="73">
        <f t="shared" si="15"/>
        <v>14131</v>
      </c>
      <c r="S38" s="73">
        <f t="shared" si="81"/>
        <v>4132</v>
      </c>
      <c r="T38" s="72" t="s">
        <v>512</v>
      </c>
      <c r="U38" s="72" t="str">
        <f t="shared" si="72"/>
        <v>P-PQ11-O-A11</v>
      </c>
      <c r="V38" s="72">
        <f t="shared" si="73"/>
        <v>2048</v>
      </c>
      <c r="W38" s="72">
        <f t="shared" si="74"/>
        <v>768</v>
      </c>
      <c r="X38" s="72">
        <f t="shared" si="75"/>
        <v>768</v>
      </c>
      <c r="Y38" s="72">
        <f t="shared" si="76"/>
        <v>512</v>
      </c>
      <c r="Z38" s="72">
        <f t="shared" si="77"/>
        <v>512</v>
      </c>
      <c r="AA38" s="81" t="s">
        <v>215</v>
      </c>
      <c r="AB38" s="72" t="str">
        <f t="shared" si="9"/>
        <v>/pq1/pq11/wasApp</v>
      </c>
      <c r="AC38" s="72" t="str">
        <f>CONCATENATE("/log/jboss7/",I38,"/",L38)</f>
        <v>/log/jboss7/P-PQ11-O/P-PQ11-O-F22</v>
      </c>
      <c r="AD38" s="81" t="s">
        <v>289</v>
      </c>
      <c r="AE38" s="16" t="s">
        <v>290</v>
      </c>
      <c r="AF38" s="16">
        <v>9998</v>
      </c>
      <c r="AG38" s="115"/>
    </row>
    <row r="39" spans="1:33" s="66" customFormat="1" ht="16.5" customHeight="1">
      <c r="A39" s="114" t="s">
        <v>12</v>
      </c>
      <c r="B39" s="8" t="s">
        <v>452</v>
      </c>
      <c r="C39" s="8">
        <v>2</v>
      </c>
      <c r="D39" s="67" t="s">
        <v>528</v>
      </c>
      <c r="E39" s="67" t="str">
        <f t="shared" ref="E39:E51" si="82">CONCATENATE(A39,"ico","ap0",C39)</f>
        <v>picoap02</v>
      </c>
      <c r="F39" s="9" t="s">
        <v>504</v>
      </c>
      <c r="G39" s="39" t="str">
        <f>VLOOKUP(F39,'Domain별 코드 체계'!$B$5:$J$29,7,0)</f>
        <v>PQ11</v>
      </c>
      <c r="H39" s="67" t="s">
        <v>5</v>
      </c>
      <c r="I39" s="8" t="str">
        <f t="shared" ref="I39:I51" si="83">CONCATENATE(UPPER(IF(A39="d","P",A39)),"-",G39,"-",H39)</f>
        <v>P-PQ11-O</v>
      </c>
      <c r="J39" s="8" t="s">
        <v>675</v>
      </c>
      <c r="K39" s="144">
        <v>1</v>
      </c>
      <c r="L39" s="72" t="str">
        <f t="shared" ref="L39:L51" si="84">CONCATENATE(I39,"-",J39,C39,K39)</f>
        <v>P-PQ11-O-S21</v>
      </c>
      <c r="M39" s="74" t="str">
        <f>IF(J39="S",9, "8")&amp;VLOOKUP(G39,'WAS Domain'!$E$11:$I$25,3,0)&amp;VLOOKUP(G39,'WAS Domain'!$E$11:$I$25,4,0)&amp;VLOOKUP(G39,'WAS Domain'!$E$11:$I$25,5,0)</f>
        <v>9221</v>
      </c>
      <c r="N39" s="74">
        <f t="shared" si="12"/>
        <v>9664</v>
      </c>
      <c r="O39" s="74" t="str">
        <f>VLOOKUP(G39,'WAS Domain'!$E$11:$I$25,2,0)&amp;VLOOKUP(G39,'WAS Domain'!$E$11:$I$25,3,0)&amp;VLOOKUP(G39,'WAS Domain'!$E$11:$I$25,4,0)&amp;VLOOKUP(G39,'WAS Domain'!$E$11:$I$25,5,0)&amp;IF(J39="A",0,IF(J39="F",K39,IF(LEFT(G39,3)="FWM",K39,9)))</f>
        <v>12219</v>
      </c>
      <c r="P39" s="73">
        <f t="shared" si="79"/>
        <v>12148</v>
      </c>
      <c r="Q39" s="73">
        <f t="shared" si="80"/>
        <v>14129</v>
      </c>
      <c r="R39" s="73">
        <f t="shared" si="15"/>
        <v>14138</v>
      </c>
      <c r="S39" s="73">
        <f t="shared" si="81"/>
        <v>4139</v>
      </c>
      <c r="T39" s="72" t="s">
        <v>550</v>
      </c>
      <c r="U39" s="72" t="str">
        <f t="shared" ref="U39:U51" si="85">IF(J39="A","",CONCATENATE(I39,"-A11"))</f>
        <v>P-PQ11-O-A11</v>
      </c>
      <c r="V39" s="72">
        <f t="shared" ref="V39:V51" si="86">IF(J39="A",512,IF(J39="F",2048,IF(J39="S",1024)))</f>
        <v>1024</v>
      </c>
      <c r="W39" s="72">
        <f t="shared" ref="W39:W51" si="87">IF(J39="A","",IF(J39="F",(V39/16)*6,IF(J39="S",V39/4)))</f>
        <v>256</v>
      </c>
      <c r="X39" s="72">
        <f t="shared" ref="X39:X51" si="88">W39</f>
        <v>256</v>
      </c>
      <c r="Y39" s="72">
        <f t="shared" ref="Y39:Y51" si="89">IF(J39="A","",IF(J39="F",(V39/16)*4,IF(J39="S",V39/4)))</f>
        <v>256</v>
      </c>
      <c r="Z39" s="72">
        <f t="shared" ref="Z39:Z51" si="90">Y39</f>
        <v>256</v>
      </c>
      <c r="AA39" s="81" t="s">
        <v>215</v>
      </c>
      <c r="AB39" s="72" t="str">
        <f t="shared" si="9"/>
        <v>/pq1/pq11/wasAdminApp</v>
      </c>
      <c r="AC39" s="72" t="str">
        <f t="shared" ref="AC39:AC51" si="91">CONCATENATE("/log/jboss7/",I39,"/",L39)</f>
        <v>/log/jboss7/P-PQ11-O/P-PQ11-O-S21</v>
      </c>
      <c r="AD39" s="81" t="s">
        <v>289</v>
      </c>
      <c r="AE39" s="16" t="s">
        <v>290</v>
      </c>
      <c r="AF39" s="16">
        <v>9998</v>
      </c>
      <c r="AG39" s="115"/>
    </row>
    <row r="40" spans="1:33" s="66" customFormat="1" ht="16.5" customHeight="1">
      <c r="A40" s="114" t="s">
        <v>12</v>
      </c>
      <c r="B40" s="8" t="s">
        <v>439</v>
      </c>
      <c r="C40" s="8">
        <v>2</v>
      </c>
      <c r="D40" s="67" t="s">
        <v>528</v>
      </c>
      <c r="E40" s="67" t="str">
        <f t="shared" si="82"/>
        <v>picoap02</v>
      </c>
      <c r="F40" s="9" t="s">
        <v>505</v>
      </c>
      <c r="G40" s="39" t="str">
        <f>VLOOKUP(F40,'Domain별 코드 체계'!$B$5:$J$29,7,0)</f>
        <v>SP11</v>
      </c>
      <c r="H40" s="67" t="s">
        <v>5</v>
      </c>
      <c r="I40" s="8" t="str">
        <f t="shared" si="83"/>
        <v>P-SP11-O</v>
      </c>
      <c r="J40" s="8" t="s">
        <v>291</v>
      </c>
      <c r="K40" s="144">
        <v>1</v>
      </c>
      <c r="L40" s="72" t="str">
        <f t="shared" si="84"/>
        <v>P-SP11-O-F21</v>
      </c>
      <c r="M40" s="74" t="str">
        <f>IF(J40="S",9, "8")&amp;VLOOKUP(G40,'WAS Domain'!$E$11:$I$25,3,0)&amp;VLOOKUP(G40,'WAS Domain'!$E$11:$I$25,4,0)&amp;VLOOKUP(G40,'WAS Domain'!$E$11:$I$25,5,0)</f>
        <v>8211</v>
      </c>
      <c r="N40" s="74">
        <f t="shared" si="12"/>
        <v>8654</v>
      </c>
      <c r="O40" s="74" t="str">
        <f>VLOOKUP(G40,'WAS Domain'!$E$11:$I$25,2,0)&amp;VLOOKUP(G40,'WAS Domain'!$E$11:$I$25,3,0)&amp;VLOOKUP(G40,'WAS Domain'!$E$11:$I$25,4,0)&amp;VLOOKUP(G40,'WAS Domain'!$E$11:$I$25,5,0)&amp;IF(J40="A",0,IF(J40="F",K40,IF(LEFT(G40,3)="FWM",K40,9)))</f>
        <v>12111</v>
      </c>
      <c r="P40" s="73">
        <f t="shared" si="79"/>
        <v>12040</v>
      </c>
      <c r="Q40" s="73">
        <f t="shared" si="80"/>
        <v>14021</v>
      </c>
      <c r="R40" s="73">
        <f t="shared" si="15"/>
        <v>14030</v>
      </c>
      <c r="S40" s="73">
        <f t="shared" si="81"/>
        <v>4031</v>
      </c>
      <c r="T40" s="72" t="s">
        <v>551</v>
      </c>
      <c r="U40" s="72" t="str">
        <f t="shared" si="85"/>
        <v>P-SP11-O-A11</v>
      </c>
      <c r="V40" s="72">
        <f t="shared" si="86"/>
        <v>2048</v>
      </c>
      <c r="W40" s="72">
        <f t="shared" si="87"/>
        <v>768</v>
      </c>
      <c r="X40" s="72">
        <f t="shared" si="88"/>
        <v>768</v>
      </c>
      <c r="Y40" s="72">
        <f t="shared" si="89"/>
        <v>512</v>
      </c>
      <c r="Z40" s="72">
        <f t="shared" si="90"/>
        <v>512</v>
      </c>
      <c r="AA40" s="81" t="s">
        <v>215</v>
      </c>
      <c r="AB40" s="72" t="str">
        <f t="shared" si="9"/>
        <v>/sp1/sp11/wasApp</v>
      </c>
      <c r="AC40" s="72" t="str">
        <f t="shared" si="91"/>
        <v>/log/jboss7/P-SP11-O/P-SP11-O-F21</v>
      </c>
      <c r="AD40" s="81" t="s">
        <v>289</v>
      </c>
      <c r="AE40" s="16" t="s">
        <v>290</v>
      </c>
      <c r="AF40" s="16">
        <v>9998</v>
      </c>
      <c r="AG40" s="115"/>
    </row>
    <row r="41" spans="1:33" s="66" customFormat="1" ht="16.5" customHeight="1">
      <c r="A41" s="114" t="s">
        <v>12</v>
      </c>
      <c r="B41" s="8" t="s">
        <v>439</v>
      </c>
      <c r="C41" s="8">
        <v>2</v>
      </c>
      <c r="D41" s="67" t="s">
        <v>528</v>
      </c>
      <c r="E41" s="67" t="str">
        <f t="shared" si="82"/>
        <v>picoap02</v>
      </c>
      <c r="F41" s="9" t="s">
        <v>505</v>
      </c>
      <c r="G41" s="39" t="str">
        <f>VLOOKUP(F41,'Domain별 코드 체계'!$B$5:$J$29,7,0)</f>
        <v>SP11</v>
      </c>
      <c r="H41" s="67" t="s">
        <v>5</v>
      </c>
      <c r="I41" s="8" t="str">
        <f t="shared" si="83"/>
        <v>P-SP11-O</v>
      </c>
      <c r="J41" s="8" t="s">
        <v>662</v>
      </c>
      <c r="K41" s="144">
        <v>1</v>
      </c>
      <c r="L41" s="72" t="str">
        <f t="shared" si="84"/>
        <v>P-SP11-O-S21</v>
      </c>
      <c r="M41" s="74" t="str">
        <f>IF(J41="S",9, "8")&amp;VLOOKUP(G41,'WAS Domain'!$E$11:$I$25,3,0)&amp;VLOOKUP(G41,'WAS Domain'!$E$11:$I$25,4,0)&amp;VLOOKUP(G41,'WAS Domain'!$E$11:$I$25,5,0)</f>
        <v>9211</v>
      </c>
      <c r="N41" s="74">
        <f t="shared" si="12"/>
        <v>9654</v>
      </c>
      <c r="O41" s="74" t="str">
        <f>VLOOKUP(G41,'WAS Domain'!$E$11:$I$25,2,0)&amp;VLOOKUP(G41,'WAS Domain'!$E$11:$I$25,3,0)&amp;VLOOKUP(G41,'WAS Domain'!$E$11:$I$25,4,0)&amp;VLOOKUP(G41,'WAS Domain'!$E$11:$I$25,5,0)&amp;IF(J41="A",0,IF(J41="F",K41,IF(LEFT(G41,3)="FWM",K41,9)))</f>
        <v>12119</v>
      </c>
      <c r="P41" s="73">
        <f t="shared" si="79"/>
        <v>12048</v>
      </c>
      <c r="Q41" s="73">
        <f t="shared" si="80"/>
        <v>14029</v>
      </c>
      <c r="R41" s="73">
        <f t="shared" si="15"/>
        <v>14038</v>
      </c>
      <c r="S41" s="73">
        <f t="shared" si="81"/>
        <v>4039</v>
      </c>
      <c r="T41" s="72" t="s">
        <v>552</v>
      </c>
      <c r="U41" s="72" t="str">
        <f t="shared" si="85"/>
        <v>P-SP11-O-A11</v>
      </c>
      <c r="V41" s="72">
        <f t="shared" si="86"/>
        <v>1024</v>
      </c>
      <c r="W41" s="72">
        <f t="shared" si="87"/>
        <v>256</v>
      </c>
      <c r="X41" s="72">
        <f t="shared" si="88"/>
        <v>256</v>
      </c>
      <c r="Y41" s="72">
        <f t="shared" si="89"/>
        <v>256</v>
      </c>
      <c r="Z41" s="72">
        <f t="shared" si="90"/>
        <v>256</v>
      </c>
      <c r="AA41" s="81" t="s">
        <v>215</v>
      </c>
      <c r="AB41" s="72" t="str">
        <f t="shared" si="9"/>
        <v>/sp1/sp11/wasAdminApp</v>
      </c>
      <c r="AC41" s="72" t="str">
        <f t="shared" si="91"/>
        <v>/log/jboss7/P-SP11-O/P-SP11-O-S21</v>
      </c>
      <c r="AD41" s="81" t="s">
        <v>289</v>
      </c>
      <c r="AE41" s="16" t="s">
        <v>290</v>
      </c>
      <c r="AF41" s="16">
        <v>9998</v>
      </c>
      <c r="AG41" s="115"/>
    </row>
    <row r="42" spans="1:33" s="66" customFormat="1" ht="16.5" customHeight="1">
      <c r="A42" s="114" t="s">
        <v>12</v>
      </c>
      <c r="B42" s="81" t="s">
        <v>441</v>
      </c>
      <c r="C42" s="8">
        <v>2</v>
      </c>
      <c r="D42" s="67" t="s">
        <v>528</v>
      </c>
      <c r="E42" s="67" t="str">
        <f t="shared" si="82"/>
        <v>picoap02</v>
      </c>
      <c r="F42" s="9" t="s">
        <v>513</v>
      </c>
      <c r="G42" s="39" t="str">
        <f>VLOOKUP(F42,'Domain별 코드 체계'!$B$5:$J$29,7,0)</f>
        <v>BIM1</v>
      </c>
      <c r="H42" s="92" t="s">
        <v>660</v>
      </c>
      <c r="I42" s="8" t="str">
        <f t="shared" si="83"/>
        <v>P-BIM1-O</v>
      </c>
      <c r="J42" s="8" t="s">
        <v>555</v>
      </c>
      <c r="K42" s="144">
        <v>1</v>
      </c>
      <c r="L42" s="72" t="str">
        <f t="shared" si="84"/>
        <v>P-BIM1-O-F21</v>
      </c>
      <c r="M42" s="74" t="str">
        <f>IF(J42="S",9, "8")&amp;VLOOKUP(G42,'WAS Domain'!$E$11:$I$25,3,0)&amp;VLOOKUP(G42,'WAS Domain'!$E$11:$I$25,4,0)&amp;VLOOKUP(G42,'WAS Domain'!$E$11:$I$25,5,0)</f>
        <v>8261</v>
      </c>
      <c r="N42" s="74">
        <f t="shared" si="12"/>
        <v>8704</v>
      </c>
      <c r="O42" s="74" t="str">
        <f>VLOOKUP(G42,'WAS Domain'!$E$11:$I$25,2,0)&amp;VLOOKUP(G42,'WAS Domain'!$E$11:$I$25,3,0)&amp;VLOOKUP(G42,'WAS Domain'!$E$11:$I$25,4,0)&amp;VLOOKUP(G42,'WAS Domain'!$E$11:$I$25,5,0)&amp;IF(J42="A",0,IF(J42="F",K42,IF(LEFT(G42,3)="FWM",K42,9)))</f>
        <v>12611</v>
      </c>
      <c r="P42" s="73">
        <f t="shared" si="79"/>
        <v>12540</v>
      </c>
      <c r="Q42" s="73">
        <f t="shared" si="80"/>
        <v>14521</v>
      </c>
      <c r="R42" s="73">
        <f t="shared" si="15"/>
        <v>14530</v>
      </c>
      <c r="S42" s="73">
        <f t="shared" si="81"/>
        <v>4531</v>
      </c>
      <c r="T42" s="72" t="s">
        <v>514</v>
      </c>
      <c r="U42" s="72" t="str">
        <f t="shared" si="85"/>
        <v>P-BIM1-O-A11</v>
      </c>
      <c r="V42" s="72">
        <f t="shared" si="86"/>
        <v>2048</v>
      </c>
      <c r="W42" s="72">
        <f t="shared" si="87"/>
        <v>768</v>
      </c>
      <c r="X42" s="72">
        <f t="shared" si="88"/>
        <v>768</v>
      </c>
      <c r="Y42" s="72">
        <f t="shared" si="89"/>
        <v>512</v>
      </c>
      <c r="Z42" s="72">
        <f t="shared" si="90"/>
        <v>512</v>
      </c>
      <c r="AA42" s="81" t="s">
        <v>215</v>
      </c>
      <c r="AB42" s="72" t="str">
        <f t="shared" si="9"/>
        <v>/bim/bim1/wasApp</v>
      </c>
      <c r="AC42" s="72" t="str">
        <f t="shared" si="91"/>
        <v>/log/jboss7/P-BIM1-O/P-BIM1-O-F21</v>
      </c>
      <c r="AD42" s="81" t="s">
        <v>289</v>
      </c>
      <c r="AE42" s="16" t="s">
        <v>290</v>
      </c>
      <c r="AF42" s="16">
        <v>9998</v>
      </c>
      <c r="AG42" s="115"/>
    </row>
    <row r="43" spans="1:33" s="66" customFormat="1" ht="16.5" customHeight="1">
      <c r="A43" s="114" t="s">
        <v>12</v>
      </c>
      <c r="B43" s="81" t="s">
        <v>441</v>
      </c>
      <c r="C43" s="8">
        <v>2</v>
      </c>
      <c r="D43" s="67" t="s">
        <v>528</v>
      </c>
      <c r="E43" s="67" t="str">
        <f t="shared" si="82"/>
        <v>picoap02</v>
      </c>
      <c r="F43" s="9" t="s">
        <v>427</v>
      </c>
      <c r="G43" s="39" t="str">
        <f>VLOOKUP(F43,'Domain별 코드 체계'!$B$5:$J$29,7,0)</f>
        <v>BIM1</v>
      </c>
      <c r="H43" s="92" t="s">
        <v>660</v>
      </c>
      <c r="I43" s="8" t="str">
        <f t="shared" si="83"/>
        <v>P-BIM1-O</v>
      </c>
      <c r="J43" s="8" t="s">
        <v>555</v>
      </c>
      <c r="K43" s="144">
        <v>2</v>
      </c>
      <c r="L43" s="72" t="str">
        <f t="shared" si="84"/>
        <v>P-BIM1-O-F22</v>
      </c>
      <c r="M43" s="152" t="str">
        <f>IF(J43="S",9, "8")&amp;VLOOKUP(G43,'WAS Domain'!$E$11:$I$25,3,0)&amp;VLOOKUP(G43,'WAS Domain'!$E$11:$I$25,4,0)&amp;VLOOKUP(G43,'WAS Domain'!$E$11:$I$25,5,0)</f>
        <v>8261</v>
      </c>
      <c r="N43" s="74">
        <f t="shared" si="12"/>
        <v>8704</v>
      </c>
      <c r="O43" s="74" t="str">
        <f>VLOOKUP(G43,'WAS Domain'!$E$11:$I$25,2,0)&amp;VLOOKUP(G43,'WAS Domain'!$E$11:$I$25,3,0)&amp;VLOOKUP(G43,'WAS Domain'!$E$11:$I$25,4,0)&amp;VLOOKUP(G43,'WAS Domain'!$E$11:$I$25,5,0)&amp;IF(J43="A",0,IF(J43="F",K43,IF(LEFT(G43,3)="FWM",K43,9)))</f>
        <v>12612</v>
      </c>
      <c r="P43" s="73">
        <f t="shared" si="79"/>
        <v>12541</v>
      </c>
      <c r="Q43" s="73">
        <f t="shared" si="80"/>
        <v>14522</v>
      </c>
      <c r="R43" s="73">
        <f t="shared" si="15"/>
        <v>14531</v>
      </c>
      <c r="S43" s="73">
        <f t="shared" si="81"/>
        <v>4532</v>
      </c>
      <c r="T43" s="72" t="s">
        <v>515</v>
      </c>
      <c r="U43" s="72" t="str">
        <f t="shared" si="85"/>
        <v>P-BIM1-O-A11</v>
      </c>
      <c r="V43" s="72">
        <f t="shared" si="86"/>
        <v>2048</v>
      </c>
      <c r="W43" s="72">
        <f t="shared" si="87"/>
        <v>768</v>
      </c>
      <c r="X43" s="72">
        <f t="shared" si="88"/>
        <v>768</v>
      </c>
      <c r="Y43" s="72">
        <f t="shared" si="89"/>
        <v>512</v>
      </c>
      <c r="Z43" s="72">
        <f t="shared" si="90"/>
        <v>512</v>
      </c>
      <c r="AA43" s="81" t="s">
        <v>215</v>
      </c>
      <c r="AB43" s="72" t="str">
        <f t="shared" si="9"/>
        <v>/bim/bim1/wasApp</v>
      </c>
      <c r="AC43" s="72" t="str">
        <f t="shared" si="91"/>
        <v>/log/jboss7/P-BIM1-O/P-BIM1-O-F22</v>
      </c>
      <c r="AD43" s="81" t="s">
        <v>289</v>
      </c>
      <c r="AE43" s="16" t="s">
        <v>290</v>
      </c>
      <c r="AF43" s="16">
        <v>9998</v>
      </c>
      <c r="AG43" s="115"/>
    </row>
    <row r="44" spans="1:33" s="66" customFormat="1" ht="16.5" customHeight="1">
      <c r="A44" s="114" t="s">
        <v>12</v>
      </c>
      <c r="B44" s="81" t="s">
        <v>503</v>
      </c>
      <c r="C44" s="8">
        <v>2</v>
      </c>
      <c r="D44" s="67" t="s">
        <v>528</v>
      </c>
      <c r="E44" s="67" t="str">
        <f t="shared" si="82"/>
        <v>picoap02</v>
      </c>
      <c r="F44" s="9" t="s">
        <v>405</v>
      </c>
      <c r="G44" s="39" t="str">
        <f>VLOOKUP(F44,'Domain별 코드 체계'!$B$5:$J$29,7,0)</f>
        <v>GE21</v>
      </c>
      <c r="H44" s="92" t="s">
        <v>554</v>
      </c>
      <c r="I44" s="8" t="str">
        <f t="shared" si="83"/>
        <v>P-GE21-O</v>
      </c>
      <c r="J44" s="8" t="s">
        <v>555</v>
      </c>
      <c r="K44" s="144">
        <v>1</v>
      </c>
      <c r="L44" s="72" t="str">
        <f t="shared" si="84"/>
        <v>P-GE21-O-F21</v>
      </c>
      <c r="M44" s="74" t="str">
        <f>IF(J44="S",9, "8")&amp;VLOOKUP(G44,'WAS Domain'!$E$11:$I$25,3,0)&amp;VLOOKUP(G44,'WAS Domain'!$E$11:$I$25,4,0)&amp;VLOOKUP(G44,'WAS Domain'!$E$11:$I$25,5,0)</f>
        <v>8241</v>
      </c>
      <c r="N44" s="74">
        <f t="shared" si="12"/>
        <v>8684</v>
      </c>
      <c r="O44" s="74" t="str">
        <f>VLOOKUP(G44,'WAS Domain'!$E$11:$I$25,2,0)&amp;VLOOKUP(G44,'WAS Domain'!$E$11:$I$25,3,0)&amp;VLOOKUP(G44,'WAS Domain'!$E$11:$I$25,4,0)&amp;VLOOKUP(G44,'WAS Domain'!$E$11:$I$25,5,0)&amp;IF(J44="A",0,IF(J44="F",K44,IF(LEFT(G44,3)="FWM",K44,9)))</f>
        <v>12411</v>
      </c>
      <c r="P44" s="73">
        <f t="shared" si="79"/>
        <v>12340</v>
      </c>
      <c r="Q44" s="73">
        <f t="shared" si="80"/>
        <v>14321</v>
      </c>
      <c r="R44" s="73">
        <f t="shared" si="15"/>
        <v>14330</v>
      </c>
      <c r="S44" s="73">
        <f t="shared" si="81"/>
        <v>4331</v>
      </c>
      <c r="T44" s="72" t="s">
        <v>516</v>
      </c>
      <c r="U44" s="72" t="str">
        <f t="shared" si="85"/>
        <v>P-GE21-O-A11</v>
      </c>
      <c r="V44" s="72">
        <f t="shared" si="86"/>
        <v>2048</v>
      </c>
      <c r="W44" s="72">
        <f t="shared" si="87"/>
        <v>768</v>
      </c>
      <c r="X44" s="72">
        <f t="shared" si="88"/>
        <v>768</v>
      </c>
      <c r="Y44" s="72">
        <f t="shared" si="89"/>
        <v>512</v>
      </c>
      <c r="Z44" s="72">
        <f t="shared" si="90"/>
        <v>512</v>
      </c>
      <c r="AA44" s="81" t="s">
        <v>215</v>
      </c>
      <c r="AB44" s="72" t="str">
        <f t="shared" si="9"/>
        <v>/ge2/ge21/wasApp</v>
      </c>
      <c r="AC44" s="72" t="str">
        <f t="shared" si="91"/>
        <v>/log/jboss7/P-GE21-O/P-GE21-O-F21</v>
      </c>
      <c r="AD44" s="81" t="s">
        <v>289</v>
      </c>
      <c r="AE44" s="16" t="s">
        <v>290</v>
      </c>
      <c r="AF44" s="16">
        <v>9998</v>
      </c>
      <c r="AG44" s="115"/>
    </row>
    <row r="45" spans="1:33" s="66" customFormat="1" ht="16.5" customHeight="1">
      <c r="A45" s="114" t="s">
        <v>12</v>
      </c>
      <c r="B45" s="81" t="s">
        <v>503</v>
      </c>
      <c r="C45" s="8">
        <v>2</v>
      </c>
      <c r="D45" s="67" t="s">
        <v>528</v>
      </c>
      <c r="E45" s="67" t="str">
        <f t="shared" si="82"/>
        <v>picoap02</v>
      </c>
      <c r="F45" s="9" t="s">
        <v>405</v>
      </c>
      <c r="G45" s="39" t="str">
        <f>VLOOKUP(F45,'Domain별 코드 체계'!$B$5:$J$29,7,0)</f>
        <v>GE21</v>
      </c>
      <c r="H45" s="92" t="s">
        <v>554</v>
      </c>
      <c r="I45" s="8" t="str">
        <f t="shared" si="83"/>
        <v>P-GE21-O</v>
      </c>
      <c r="J45" s="8" t="s">
        <v>555</v>
      </c>
      <c r="K45" s="144">
        <v>2</v>
      </c>
      <c r="L45" s="72" t="str">
        <f t="shared" si="84"/>
        <v>P-GE21-O-F22</v>
      </c>
      <c r="M45" s="152" t="str">
        <f>IF(J45="S",9, "8")&amp;VLOOKUP(G45,'WAS Domain'!$E$11:$I$25,3,0)&amp;VLOOKUP(G45,'WAS Domain'!$E$11:$I$25,4,0)&amp;VLOOKUP(G45,'WAS Domain'!$E$11:$I$25,5,0)</f>
        <v>8241</v>
      </c>
      <c r="N45" s="74">
        <f t="shared" si="12"/>
        <v>8684</v>
      </c>
      <c r="O45" s="74" t="str">
        <f>VLOOKUP(G45,'WAS Domain'!$E$11:$I$25,2,0)&amp;VLOOKUP(G45,'WAS Domain'!$E$11:$I$25,3,0)&amp;VLOOKUP(G45,'WAS Domain'!$E$11:$I$25,4,0)&amp;VLOOKUP(G45,'WAS Domain'!$E$11:$I$25,5,0)&amp;IF(J45="A",0,IF(J45="F",K45,IF(LEFT(G45,3)="FWM",K45,9)))</f>
        <v>12412</v>
      </c>
      <c r="P45" s="73">
        <f t="shared" si="79"/>
        <v>12341</v>
      </c>
      <c r="Q45" s="73">
        <f t="shared" si="80"/>
        <v>14322</v>
      </c>
      <c r="R45" s="73">
        <f t="shared" si="15"/>
        <v>14331</v>
      </c>
      <c r="S45" s="73">
        <f t="shared" si="81"/>
        <v>4332</v>
      </c>
      <c r="T45" s="72" t="s">
        <v>517</v>
      </c>
      <c r="U45" s="72" t="str">
        <f t="shared" si="85"/>
        <v>P-GE21-O-A11</v>
      </c>
      <c r="V45" s="72">
        <f t="shared" si="86"/>
        <v>2048</v>
      </c>
      <c r="W45" s="72">
        <f t="shared" si="87"/>
        <v>768</v>
      </c>
      <c r="X45" s="72">
        <f t="shared" si="88"/>
        <v>768</v>
      </c>
      <c r="Y45" s="72">
        <f t="shared" si="89"/>
        <v>512</v>
      </c>
      <c r="Z45" s="72">
        <f t="shared" si="90"/>
        <v>512</v>
      </c>
      <c r="AA45" s="81" t="s">
        <v>215</v>
      </c>
      <c r="AB45" s="72" t="str">
        <f t="shared" si="9"/>
        <v>/ge2/ge21/wasApp</v>
      </c>
      <c r="AC45" s="72" t="str">
        <f t="shared" si="91"/>
        <v>/log/jboss7/P-GE21-O/P-GE21-O-F22</v>
      </c>
      <c r="AD45" s="81" t="s">
        <v>289</v>
      </c>
      <c r="AE45" s="16" t="s">
        <v>290</v>
      </c>
      <c r="AF45" s="16">
        <v>9998</v>
      </c>
      <c r="AG45" s="115"/>
    </row>
    <row r="46" spans="1:33" s="66" customFormat="1" ht="16.5" customHeight="1">
      <c r="A46" s="114" t="s">
        <v>12</v>
      </c>
      <c r="B46" s="81" t="s">
        <v>503</v>
      </c>
      <c r="C46" s="8">
        <v>2</v>
      </c>
      <c r="D46" s="67" t="s">
        <v>528</v>
      </c>
      <c r="E46" s="67" t="str">
        <f t="shared" si="82"/>
        <v>picoap02</v>
      </c>
      <c r="F46" s="9" t="s">
        <v>405</v>
      </c>
      <c r="G46" s="39" t="str">
        <f>VLOOKUP(F46,'Domain별 코드 체계'!$B$5:$J$29,7,0)</f>
        <v>GE21</v>
      </c>
      <c r="H46" s="92" t="s">
        <v>660</v>
      </c>
      <c r="I46" s="8" t="str">
        <f t="shared" si="83"/>
        <v>P-GE21-O</v>
      </c>
      <c r="J46" s="8" t="s">
        <v>662</v>
      </c>
      <c r="K46" s="144">
        <v>1</v>
      </c>
      <c r="L46" s="72" t="str">
        <f t="shared" si="84"/>
        <v>P-GE21-O-S21</v>
      </c>
      <c r="M46" s="74" t="str">
        <f>IF(J46="S",9, "8")&amp;VLOOKUP(G46,'WAS Domain'!$E$11:$I$25,3,0)&amp;VLOOKUP(G46,'WAS Domain'!$E$11:$I$25,4,0)&amp;VLOOKUP(G46,'WAS Domain'!$E$11:$I$25,5,0)</f>
        <v>9241</v>
      </c>
      <c r="N46" s="74">
        <f t="shared" si="12"/>
        <v>9684</v>
      </c>
      <c r="O46" s="74" t="str">
        <f>VLOOKUP(G46,'WAS Domain'!$E$11:$I$25,2,0)&amp;VLOOKUP(G46,'WAS Domain'!$E$11:$I$25,3,0)&amp;VLOOKUP(G46,'WAS Domain'!$E$11:$I$25,4,0)&amp;VLOOKUP(G46,'WAS Domain'!$E$11:$I$25,5,0)&amp;IF(J46="A",0,IF(J46="F",K46,IF(LEFT(G46,3)="FWM",K46,9)))</f>
        <v>12419</v>
      </c>
      <c r="P46" s="73">
        <f t="shared" si="79"/>
        <v>12348</v>
      </c>
      <c r="Q46" s="73">
        <f t="shared" si="80"/>
        <v>14329</v>
      </c>
      <c r="R46" s="73">
        <f t="shared" si="15"/>
        <v>14338</v>
      </c>
      <c r="S46" s="73">
        <f t="shared" si="81"/>
        <v>4339</v>
      </c>
      <c r="T46" s="72" t="s">
        <v>553</v>
      </c>
      <c r="U46" s="72" t="str">
        <f t="shared" si="85"/>
        <v>P-GE21-O-A11</v>
      </c>
      <c r="V46" s="72">
        <f t="shared" si="86"/>
        <v>1024</v>
      </c>
      <c r="W46" s="72">
        <f t="shared" si="87"/>
        <v>256</v>
      </c>
      <c r="X46" s="72">
        <f t="shared" si="88"/>
        <v>256</v>
      </c>
      <c r="Y46" s="72">
        <f t="shared" si="89"/>
        <v>256</v>
      </c>
      <c r="Z46" s="72">
        <f t="shared" si="90"/>
        <v>256</v>
      </c>
      <c r="AA46" s="81" t="s">
        <v>215</v>
      </c>
      <c r="AB46" s="72" t="str">
        <f t="shared" si="9"/>
        <v>/ge2/ge21/wasAdminApp</v>
      </c>
      <c r="AC46" s="72" t="str">
        <f t="shared" si="91"/>
        <v>/log/jboss7/P-GE21-O/P-GE21-O-S21</v>
      </c>
      <c r="AD46" s="81" t="s">
        <v>289</v>
      </c>
      <c r="AE46" s="16" t="s">
        <v>290</v>
      </c>
      <c r="AF46" s="16">
        <v>9998</v>
      </c>
      <c r="AG46" s="115"/>
    </row>
    <row r="47" spans="1:33" s="66" customFormat="1" ht="16.5" customHeight="1">
      <c r="A47" s="114" t="s">
        <v>12</v>
      </c>
      <c r="B47" s="81" t="s">
        <v>445</v>
      </c>
      <c r="C47" s="8">
        <v>2</v>
      </c>
      <c r="D47" s="67" t="s">
        <v>528</v>
      </c>
      <c r="E47" s="67" t="str">
        <f t="shared" si="82"/>
        <v>picoap02</v>
      </c>
      <c r="F47" s="9" t="s">
        <v>406</v>
      </c>
      <c r="G47" s="39" t="str">
        <f>VLOOKUP(F47,'Domain별 코드 체계'!$B$5:$J$29,7,0)</f>
        <v>MS71</v>
      </c>
      <c r="H47" s="67" t="s">
        <v>5</v>
      </c>
      <c r="I47" s="8" t="str">
        <f t="shared" si="83"/>
        <v>P-MS71-O</v>
      </c>
      <c r="J47" s="8" t="s">
        <v>291</v>
      </c>
      <c r="K47" s="144">
        <v>1</v>
      </c>
      <c r="L47" s="72" t="str">
        <f t="shared" si="84"/>
        <v>P-MS71-O-F21</v>
      </c>
      <c r="M47" s="74" t="str">
        <f>IF(J47="S",9, "8")&amp;VLOOKUP(G47,'WAS Domain'!$E$11:$I$25,3,0)&amp;VLOOKUP(G47,'WAS Domain'!$E$11:$I$25,4,0)&amp;VLOOKUP(G47,'WAS Domain'!$E$11:$I$25,5,0)</f>
        <v>8251</v>
      </c>
      <c r="N47" s="74">
        <f t="shared" si="12"/>
        <v>8694</v>
      </c>
      <c r="O47" s="74" t="str">
        <f>VLOOKUP(G47,'WAS Domain'!$E$11:$I$25,2,0)&amp;VLOOKUP(G47,'WAS Domain'!$E$11:$I$25,3,0)&amp;VLOOKUP(G47,'WAS Domain'!$E$11:$I$25,4,0)&amp;VLOOKUP(G47,'WAS Domain'!$E$11:$I$25,5,0)&amp;IF(J47="A",0,IF(J47="F",K47,IF(LEFT(G47,3)="FWM",K47,9)))</f>
        <v>12511</v>
      </c>
      <c r="P47" s="73">
        <f t="shared" si="79"/>
        <v>12440</v>
      </c>
      <c r="Q47" s="73">
        <f t="shared" si="80"/>
        <v>14421</v>
      </c>
      <c r="R47" s="73">
        <f t="shared" si="15"/>
        <v>14430</v>
      </c>
      <c r="S47" s="73">
        <f t="shared" si="81"/>
        <v>4431</v>
      </c>
      <c r="T47" s="72" t="s">
        <v>518</v>
      </c>
      <c r="U47" s="72" t="str">
        <f t="shared" si="85"/>
        <v>P-MS71-O-A11</v>
      </c>
      <c r="V47" s="72">
        <f t="shared" si="86"/>
        <v>2048</v>
      </c>
      <c r="W47" s="72">
        <f t="shared" si="87"/>
        <v>768</v>
      </c>
      <c r="X47" s="72">
        <f t="shared" si="88"/>
        <v>768</v>
      </c>
      <c r="Y47" s="72">
        <f t="shared" si="89"/>
        <v>512</v>
      </c>
      <c r="Z47" s="72">
        <f t="shared" si="90"/>
        <v>512</v>
      </c>
      <c r="AA47" s="81" t="s">
        <v>215</v>
      </c>
      <c r="AB47" s="72" t="str">
        <f t="shared" si="9"/>
        <v>/ms7/ms71/wasApp</v>
      </c>
      <c r="AC47" s="72" t="str">
        <f t="shared" si="91"/>
        <v>/log/jboss7/P-MS71-O/P-MS71-O-F21</v>
      </c>
      <c r="AD47" s="81" t="s">
        <v>289</v>
      </c>
      <c r="AE47" s="16" t="s">
        <v>290</v>
      </c>
      <c r="AF47" s="16">
        <v>9998</v>
      </c>
      <c r="AG47" s="115"/>
    </row>
    <row r="48" spans="1:33" s="66" customFormat="1" ht="16.5" customHeight="1">
      <c r="A48" s="114" t="s">
        <v>12</v>
      </c>
      <c r="B48" s="81" t="s">
        <v>445</v>
      </c>
      <c r="C48" s="8">
        <v>2</v>
      </c>
      <c r="D48" s="67" t="s">
        <v>528</v>
      </c>
      <c r="E48" s="67" t="str">
        <f t="shared" si="82"/>
        <v>picoap02</v>
      </c>
      <c r="F48" s="9" t="s">
        <v>406</v>
      </c>
      <c r="G48" s="39" t="str">
        <f>VLOOKUP(F48,'Domain별 코드 체계'!$B$5:$J$29,7,0)</f>
        <v>MS71</v>
      </c>
      <c r="H48" s="67" t="s">
        <v>5</v>
      </c>
      <c r="I48" s="8" t="str">
        <f t="shared" si="83"/>
        <v>P-MS71-O</v>
      </c>
      <c r="J48" s="8" t="s">
        <v>291</v>
      </c>
      <c r="K48" s="144">
        <v>2</v>
      </c>
      <c r="L48" s="72" t="str">
        <f t="shared" si="84"/>
        <v>P-MS71-O-F22</v>
      </c>
      <c r="M48" s="152" t="str">
        <f>IF(J48="S",9, "8")&amp;VLOOKUP(G48,'WAS Domain'!$E$11:$I$25,3,0)&amp;VLOOKUP(G48,'WAS Domain'!$E$11:$I$25,4,0)&amp;VLOOKUP(G48,'WAS Domain'!$E$11:$I$25,5,0)</f>
        <v>8251</v>
      </c>
      <c r="N48" s="74">
        <f t="shared" si="12"/>
        <v>8694</v>
      </c>
      <c r="O48" s="74" t="str">
        <f>VLOOKUP(G48,'WAS Domain'!$E$11:$I$25,2,0)&amp;VLOOKUP(G48,'WAS Domain'!$E$11:$I$25,3,0)&amp;VLOOKUP(G48,'WAS Domain'!$E$11:$I$25,4,0)&amp;VLOOKUP(G48,'WAS Domain'!$E$11:$I$25,5,0)&amp;IF(J48="A",0,IF(J48="F",K48,IF(LEFT(G48,3)="FWM",K48,9)))</f>
        <v>12512</v>
      </c>
      <c r="P48" s="73">
        <f t="shared" si="79"/>
        <v>12441</v>
      </c>
      <c r="Q48" s="73">
        <f t="shared" si="80"/>
        <v>14422</v>
      </c>
      <c r="R48" s="73">
        <f t="shared" si="15"/>
        <v>14431</v>
      </c>
      <c r="S48" s="73">
        <f t="shared" si="81"/>
        <v>4432</v>
      </c>
      <c r="T48" s="72" t="s">
        <v>519</v>
      </c>
      <c r="U48" s="72" t="str">
        <f t="shared" si="85"/>
        <v>P-MS71-O-A11</v>
      </c>
      <c r="V48" s="72">
        <f t="shared" si="86"/>
        <v>2048</v>
      </c>
      <c r="W48" s="72">
        <f t="shared" si="87"/>
        <v>768</v>
      </c>
      <c r="X48" s="72">
        <f t="shared" si="88"/>
        <v>768</v>
      </c>
      <c r="Y48" s="72">
        <f t="shared" si="89"/>
        <v>512</v>
      </c>
      <c r="Z48" s="72">
        <f t="shared" si="90"/>
        <v>512</v>
      </c>
      <c r="AA48" s="81" t="s">
        <v>215</v>
      </c>
      <c r="AB48" s="72" t="str">
        <f t="shared" si="9"/>
        <v>/ms7/ms71/wasApp</v>
      </c>
      <c r="AC48" s="72" t="str">
        <f t="shared" si="91"/>
        <v>/log/jboss7/P-MS71-O/P-MS71-O-F22</v>
      </c>
      <c r="AD48" s="81" t="s">
        <v>289</v>
      </c>
      <c r="AE48" s="16" t="s">
        <v>290</v>
      </c>
      <c r="AF48" s="16">
        <v>9998</v>
      </c>
      <c r="AG48" s="115"/>
    </row>
    <row r="49" spans="1:33" s="66" customFormat="1" ht="16.5" customHeight="1">
      <c r="A49" s="114" t="s">
        <v>12</v>
      </c>
      <c r="B49" s="81" t="s">
        <v>447</v>
      </c>
      <c r="C49" s="8">
        <v>2</v>
      </c>
      <c r="D49" s="67" t="s">
        <v>528</v>
      </c>
      <c r="E49" s="67" t="str">
        <f t="shared" si="82"/>
        <v>picoap02</v>
      </c>
      <c r="F49" s="9" t="s">
        <v>520</v>
      </c>
      <c r="G49" s="39" t="str">
        <f>VLOOKUP(F49,'Domain별 코드 체계'!$B$5:$J$29,7,0)</f>
        <v>WO11</v>
      </c>
      <c r="H49" s="92" t="s">
        <v>660</v>
      </c>
      <c r="I49" s="8" t="str">
        <f t="shared" si="83"/>
        <v>P-WO11-O</v>
      </c>
      <c r="J49" s="8" t="s">
        <v>555</v>
      </c>
      <c r="K49" s="144">
        <v>1</v>
      </c>
      <c r="L49" s="72" t="str">
        <f t="shared" si="84"/>
        <v>P-WO11-O-F21</v>
      </c>
      <c r="M49" s="74" t="str">
        <f>IF(J49="S",9, "8")&amp;VLOOKUP(G49,'WAS Domain'!$E$11:$I$25,3,0)&amp;VLOOKUP(G49,'WAS Domain'!$E$11:$I$25,4,0)&amp;VLOOKUP(G49,'WAS Domain'!$E$11:$I$25,5,0)</f>
        <v>8271</v>
      </c>
      <c r="N49" s="74">
        <f t="shared" si="12"/>
        <v>8714</v>
      </c>
      <c r="O49" s="74" t="str">
        <f>VLOOKUP(G49,'WAS Domain'!$E$11:$I$25,2,0)&amp;VLOOKUP(G49,'WAS Domain'!$E$11:$I$25,3,0)&amp;VLOOKUP(G49,'WAS Domain'!$E$11:$I$25,4,0)&amp;VLOOKUP(G49,'WAS Domain'!$E$11:$I$25,5,0)&amp;IF(J49="A",0,IF(J49="F",K49,IF(LEFT(G49,3)="FWM",K49,9)))</f>
        <v>12711</v>
      </c>
      <c r="P49" s="73">
        <f t="shared" si="79"/>
        <v>12640</v>
      </c>
      <c r="Q49" s="73">
        <f t="shared" si="80"/>
        <v>14621</v>
      </c>
      <c r="R49" s="73">
        <f t="shared" si="15"/>
        <v>14630</v>
      </c>
      <c r="S49" s="73">
        <f t="shared" si="81"/>
        <v>4631</v>
      </c>
      <c r="T49" s="72" t="s">
        <v>521</v>
      </c>
      <c r="U49" s="72" t="str">
        <f t="shared" si="85"/>
        <v>P-WO11-O-A11</v>
      </c>
      <c r="V49" s="72">
        <f t="shared" si="86"/>
        <v>2048</v>
      </c>
      <c r="W49" s="72">
        <f t="shared" si="87"/>
        <v>768</v>
      </c>
      <c r="X49" s="72">
        <f t="shared" si="88"/>
        <v>768</v>
      </c>
      <c r="Y49" s="72">
        <f t="shared" si="89"/>
        <v>512</v>
      </c>
      <c r="Z49" s="72">
        <f t="shared" si="90"/>
        <v>512</v>
      </c>
      <c r="AA49" s="81" t="s">
        <v>215</v>
      </c>
      <c r="AB49" s="72" t="str">
        <f t="shared" si="9"/>
        <v>/wo1/wo11/wasApp</v>
      </c>
      <c r="AC49" s="72" t="str">
        <f t="shared" si="91"/>
        <v>/log/jboss7/P-WO11-O/P-WO11-O-F21</v>
      </c>
      <c r="AD49" s="81" t="s">
        <v>289</v>
      </c>
      <c r="AE49" s="16" t="s">
        <v>290</v>
      </c>
      <c r="AF49" s="16">
        <v>9998</v>
      </c>
      <c r="AG49" s="115"/>
    </row>
    <row r="50" spans="1:33" s="66" customFormat="1" ht="16.5" customHeight="1">
      <c r="A50" s="114" t="s">
        <v>12</v>
      </c>
      <c r="B50" s="81" t="s">
        <v>447</v>
      </c>
      <c r="C50" s="8">
        <v>2</v>
      </c>
      <c r="D50" s="67" t="s">
        <v>528</v>
      </c>
      <c r="E50" s="67" t="str">
        <f t="shared" si="82"/>
        <v>picoap02</v>
      </c>
      <c r="F50" s="9" t="s">
        <v>506</v>
      </c>
      <c r="G50" s="39" t="str">
        <f>VLOOKUP(F50,'Domain별 코드 체계'!$B$5:$J$29,7,0)</f>
        <v>WO12</v>
      </c>
      <c r="H50" s="92" t="s">
        <v>660</v>
      </c>
      <c r="I50" s="8" t="str">
        <f t="shared" si="83"/>
        <v>P-WO12-O</v>
      </c>
      <c r="J50" s="8" t="s">
        <v>662</v>
      </c>
      <c r="K50" s="144">
        <v>1</v>
      </c>
      <c r="L50" s="72" t="str">
        <f t="shared" si="84"/>
        <v>P-WO12-O-S21</v>
      </c>
      <c r="M50" s="74" t="str">
        <f>IF(J50="S",9, "8")&amp;VLOOKUP(G50,'WAS Domain'!$E$11:$I$25,3,0)&amp;VLOOKUP(G50,'WAS Domain'!$E$11:$I$25,4,0)&amp;VLOOKUP(G50,'WAS Domain'!$E$11:$I$25,5,0)</f>
        <v>9272</v>
      </c>
      <c r="N50" s="74">
        <f t="shared" si="12"/>
        <v>9715</v>
      </c>
      <c r="O50" s="74" t="str">
        <f>VLOOKUP(G50,'WAS Domain'!$E$11:$I$25,2,0)&amp;VLOOKUP(G50,'WAS Domain'!$E$11:$I$25,3,0)&amp;VLOOKUP(G50,'WAS Domain'!$E$11:$I$25,4,0)&amp;VLOOKUP(G50,'WAS Domain'!$E$11:$I$25,5,0)&amp;IF(J50="A",0,IF(J50="F",K50,IF(LEFT(G50,3)="FWM",K50,9)))</f>
        <v>12729</v>
      </c>
      <c r="P50" s="73">
        <f t="shared" si="79"/>
        <v>12658</v>
      </c>
      <c r="Q50" s="73">
        <f t="shared" si="80"/>
        <v>14639</v>
      </c>
      <c r="R50" s="73">
        <f t="shared" si="15"/>
        <v>14648</v>
      </c>
      <c r="S50" s="73">
        <f t="shared" si="81"/>
        <v>4649</v>
      </c>
      <c r="T50" s="72" t="s">
        <v>522</v>
      </c>
      <c r="U50" s="72" t="str">
        <f t="shared" si="85"/>
        <v>P-WO12-O-A11</v>
      </c>
      <c r="V50" s="72">
        <f t="shared" si="86"/>
        <v>1024</v>
      </c>
      <c r="W50" s="72">
        <f t="shared" si="87"/>
        <v>256</v>
      </c>
      <c r="X50" s="72">
        <f t="shared" si="88"/>
        <v>256</v>
      </c>
      <c r="Y50" s="72">
        <f t="shared" si="89"/>
        <v>256</v>
      </c>
      <c r="Z50" s="72">
        <f t="shared" si="90"/>
        <v>256</v>
      </c>
      <c r="AA50" s="81" t="s">
        <v>215</v>
      </c>
      <c r="AB50" s="72" t="str">
        <f t="shared" si="9"/>
        <v>/wo1/wo12/wasAdminApp</v>
      </c>
      <c r="AC50" s="72" t="str">
        <f t="shared" si="91"/>
        <v>/log/jboss7/P-WO12-O/P-WO12-O-S21</v>
      </c>
      <c r="AD50" s="81" t="s">
        <v>289</v>
      </c>
      <c r="AE50" s="16" t="s">
        <v>290</v>
      </c>
      <c r="AF50" s="16">
        <v>9998</v>
      </c>
      <c r="AG50" s="115"/>
    </row>
    <row r="51" spans="1:33" s="66" customFormat="1" ht="16.5" customHeight="1" thickBot="1">
      <c r="A51" s="116" t="s">
        <v>12</v>
      </c>
      <c r="B51" s="121" t="s">
        <v>447</v>
      </c>
      <c r="C51" s="117">
        <v>2</v>
      </c>
      <c r="D51" s="118" t="s">
        <v>528</v>
      </c>
      <c r="E51" s="118" t="str">
        <f t="shared" si="82"/>
        <v>picoap02</v>
      </c>
      <c r="F51" s="119" t="s">
        <v>507</v>
      </c>
      <c r="G51" s="120" t="str">
        <f>VLOOKUP(F51,'Domain별 코드 체계'!$B$5:$J$29,7,0)</f>
        <v>WO13</v>
      </c>
      <c r="H51" s="118" t="s">
        <v>660</v>
      </c>
      <c r="I51" s="117" t="str">
        <f t="shared" si="83"/>
        <v>P-WO13-O</v>
      </c>
      <c r="J51" s="91" t="s">
        <v>662</v>
      </c>
      <c r="K51" s="94">
        <v>1</v>
      </c>
      <c r="L51" s="122" t="str">
        <f t="shared" si="84"/>
        <v>P-WO13-O-S21</v>
      </c>
      <c r="M51" s="131" t="str">
        <f>IF(J51="S",9, "8")&amp;VLOOKUP(G51,'WAS Domain'!$E$11:$I$25,3,0)&amp;VLOOKUP(G51,'WAS Domain'!$E$11:$I$25,4,0)&amp;VLOOKUP(G51,'WAS Domain'!$E$11:$I$25,5,0)</f>
        <v>9273</v>
      </c>
      <c r="N51" s="131">
        <f t="shared" si="12"/>
        <v>9716</v>
      </c>
      <c r="O51" s="131" t="str">
        <f>VLOOKUP(G51,'WAS Domain'!$E$11:$I$25,2,0)&amp;VLOOKUP(G51,'WAS Domain'!$E$11:$I$25,3,0)&amp;VLOOKUP(G51,'WAS Domain'!$E$11:$I$25,4,0)&amp;VLOOKUP(G51,'WAS Domain'!$E$11:$I$25,5,0)&amp;IF(J51="A",0,IF(J51="F",K51,IF(LEFT(G51,3)="FWM",K51,9)))</f>
        <v>12739</v>
      </c>
      <c r="P51" s="123">
        <f t="shared" si="79"/>
        <v>12668</v>
      </c>
      <c r="Q51" s="123">
        <f t="shared" si="80"/>
        <v>14649</v>
      </c>
      <c r="R51" s="123">
        <f t="shared" si="15"/>
        <v>14658</v>
      </c>
      <c r="S51" s="123">
        <f t="shared" si="81"/>
        <v>4659</v>
      </c>
      <c r="T51" s="122" t="s">
        <v>523</v>
      </c>
      <c r="U51" s="122" t="str">
        <f t="shared" si="85"/>
        <v>P-WO13-O-A11</v>
      </c>
      <c r="V51" s="122">
        <f t="shared" si="86"/>
        <v>1024</v>
      </c>
      <c r="W51" s="122">
        <f t="shared" si="87"/>
        <v>256</v>
      </c>
      <c r="X51" s="122">
        <f t="shared" si="88"/>
        <v>256</v>
      </c>
      <c r="Y51" s="122">
        <f t="shared" si="89"/>
        <v>256</v>
      </c>
      <c r="Z51" s="122">
        <f t="shared" si="90"/>
        <v>256</v>
      </c>
      <c r="AA51" s="121" t="s">
        <v>215</v>
      </c>
      <c r="AB51" s="72" t="str">
        <f t="shared" si="9"/>
        <v>/wo1/wo13/wasAdminApp</v>
      </c>
      <c r="AC51" s="122" t="str">
        <f t="shared" si="91"/>
        <v>/log/jboss7/P-WO13-O/P-WO13-O-S21</v>
      </c>
      <c r="AD51" s="121" t="s">
        <v>289</v>
      </c>
      <c r="AE51" s="124" t="s">
        <v>290</v>
      </c>
      <c r="AF51" s="124">
        <v>9998</v>
      </c>
      <c r="AG51" s="125"/>
    </row>
    <row r="52" spans="1:33" s="90" customFormat="1" ht="4.5" customHeight="1" thickBot="1">
      <c r="A52" s="98"/>
      <c r="B52" s="98"/>
      <c r="C52" s="98"/>
      <c r="D52" s="99"/>
      <c r="E52" s="99"/>
      <c r="F52" s="100"/>
      <c r="G52" s="101"/>
      <c r="H52" s="155"/>
      <c r="I52" s="156"/>
      <c r="J52" s="156"/>
      <c r="K52" s="98"/>
      <c r="L52" s="99"/>
      <c r="M52" s="102"/>
      <c r="N52" s="102"/>
      <c r="O52" s="102"/>
      <c r="P52" s="102"/>
      <c r="Q52" s="102"/>
      <c r="R52" s="102"/>
      <c r="S52" s="102"/>
      <c r="T52" s="99"/>
      <c r="U52" s="99"/>
      <c r="V52" s="99"/>
      <c r="W52" s="99"/>
      <c r="X52" s="99"/>
      <c r="Y52" s="99"/>
      <c r="Z52" s="99"/>
      <c r="AA52" s="98"/>
      <c r="AB52" s="72" t="str">
        <f t="shared" si="9"/>
        <v>///wasApp</v>
      </c>
      <c r="AC52" s="99"/>
      <c r="AD52" s="98"/>
      <c r="AE52" s="103"/>
      <c r="AF52" s="103"/>
      <c r="AG52" s="99"/>
    </row>
    <row r="53" spans="1:33" s="66" customFormat="1" ht="16.5" customHeight="1">
      <c r="A53" s="104" t="s">
        <v>12</v>
      </c>
      <c r="B53" s="105" t="s">
        <v>529</v>
      </c>
      <c r="C53" s="105">
        <v>1</v>
      </c>
      <c r="D53" s="106" t="s">
        <v>532</v>
      </c>
      <c r="E53" s="106" t="str">
        <f>CONCATENATE(A53,"int","ap0",C53)</f>
        <v>pintap01</v>
      </c>
      <c r="F53" s="107" t="s">
        <v>410</v>
      </c>
      <c r="G53" s="108" t="str">
        <f>VLOOKUP(F53,'Domain별 코드 체계'!$B$5:$J$29,7,0)</f>
        <v>PS91</v>
      </c>
      <c r="H53" s="106" t="s">
        <v>660</v>
      </c>
      <c r="I53" s="105" t="str">
        <f t="shared" ref="I53" si="92">CONCATENATE(UPPER(IF(A53="d","P",A53)),"-",G53,"-",H53)</f>
        <v>P-PS91-O</v>
      </c>
      <c r="J53" s="105" t="s">
        <v>663</v>
      </c>
      <c r="K53" s="109">
        <v>1</v>
      </c>
      <c r="L53" s="110" t="str">
        <f>CONCATENATE(I53,"-",J53,C53,K53)</f>
        <v>P-PS91-O-F11</v>
      </c>
      <c r="M53" s="74" t="str">
        <f>IF(J53="S",9, "8")&amp;VLOOKUP(G53,'WAS Domain'!$E$11:$I$25,3,0)&amp;VLOOKUP(G53,'WAS Domain'!$E$11:$I$25,4,0)&amp;VLOOKUP(G53,'WAS Domain'!$E$11:$I$25,5,0)</f>
        <v>8311</v>
      </c>
      <c r="N53" s="74">
        <f t="shared" si="12"/>
        <v>8754</v>
      </c>
      <c r="O53" s="74" t="str">
        <f>VLOOKUP(G53,'WAS Domain'!$E$11:$I$25,2,0)&amp;VLOOKUP(G53,'WAS Domain'!$E$11:$I$25,3,0)&amp;VLOOKUP(G53,'WAS Domain'!$E$11:$I$25,4,0)&amp;VLOOKUP(G53,'WAS Domain'!$E$11:$I$25,5,0)&amp;IF(J53="A",0,IF(J53="F",K53,IF(LEFT(G53,3)="FWM",K53,9)))</f>
        <v>13111</v>
      </c>
      <c r="P53" s="111">
        <f t="shared" ref="P53:P55" si="93">S53+8009</f>
        <v>13040</v>
      </c>
      <c r="Q53" s="111">
        <f t="shared" ref="Q53:Q55" si="94">S53+9990</f>
        <v>15021</v>
      </c>
      <c r="R53" s="111">
        <f t="shared" si="15"/>
        <v>15030</v>
      </c>
      <c r="S53" s="111">
        <f t="shared" ref="S53:S55" si="95">O53-8080</f>
        <v>5031</v>
      </c>
      <c r="T53" s="110" t="s">
        <v>525</v>
      </c>
      <c r="U53" s="110" t="str">
        <f>IF(J53="A","",CONCATENATE(I53,"-A11"))</f>
        <v>P-PS91-O-A11</v>
      </c>
      <c r="V53" s="110">
        <f>IF(J53="A",512,IF(J53="F",2048,IF(J53="S",1024)))</f>
        <v>2048</v>
      </c>
      <c r="W53" s="110">
        <f>IF(J53="A","",IF(J53="F",(V53/16)*6,IF(J53="S",V53/4)))</f>
        <v>768</v>
      </c>
      <c r="X53" s="110">
        <f>W53</f>
        <v>768</v>
      </c>
      <c r="Y53" s="110">
        <f>IF(J53="A","",IF(J53="F",(V53/16)*4,IF(J53="S",V53/4)))</f>
        <v>512</v>
      </c>
      <c r="Z53" s="110">
        <f>Y53</f>
        <v>512</v>
      </c>
      <c r="AA53" s="109" t="s">
        <v>215</v>
      </c>
      <c r="AB53" s="72" t="str">
        <f t="shared" si="9"/>
        <v>/ps9/ps91/wasApp</v>
      </c>
      <c r="AC53" s="110" t="str">
        <f>CONCATENATE("/log/jboss7/",I53,"/",L53)</f>
        <v>/log/jboss7/P-PS91-O/P-PS91-O-F11</v>
      </c>
      <c r="AD53" s="109" t="s">
        <v>289</v>
      </c>
      <c r="AE53" s="112" t="s">
        <v>290</v>
      </c>
      <c r="AF53" s="112">
        <v>9998</v>
      </c>
      <c r="AG53" s="113"/>
    </row>
    <row r="54" spans="1:33" s="66" customFormat="1" ht="16.5" customHeight="1" thickBot="1">
      <c r="A54" s="116" t="s">
        <v>12</v>
      </c>
      <c r="B54" s="117" t="s">
        <v>666</v>
      </c>
      <c r="C54" s="117">
        <v>1</v>
      </c>
      <c r="D54" s="118" t="s">
        <v>532</v>
      </c>
      <c r="E54" s="118" t="str">
        <f>CONCATENATE(A54,"int","ap0",C54)</f>
        <v>pintap01</v>
      </c>
      <c r="F54" s="119" t="s">
        <v>536</v>
      </c>
      <c r="G54" s="120" t="str">
        <f>VLOOKUP(F54,'Domain별 코드 체계'!$B$5:$J$29,7,0)</f>
        <v>VMS1</v>
      </c>
      <c r="H54" s="118" t="s">
        <v>534</v>
      </c>
      <c r="I54" s="117" t="str">
        <f t="shared" ref="I54:I55" si="96">CONCATENATE(UPPER(IF(A54="d","P",A54)),"-",G54,"-",H54)</f>
        <v>P-VMS1-O</v>
      </c>
      <c r="J54" s="117" t="s">
        <v>535</v>
      </c>
      <c r="K54" s="121">
        <v>1</v>
      </c>
      <c r="L54" s="122" t="str">
        <f t="shared" ref="L54" si="97">CONCATENATE(I54,"-",J54,C54,K54)</f>
        <v>P-VMS1-O-F11</v>
      </c>
      <c r="M54" s="74" t="str">
        <f>IF(J54="S",9, "8")&amp;VLOOKUP(G54,'WAS Domain'!$E$11:$I$25,3,0)&amp;VLOOKUP(G54,'WAS Domain'!$E$11:$I$25,4,0)&amp;VLOOKUP(G54,'WAS Domain'!$E$11:$I$25,5,0)</f>
        <v>8321</v>
      </c>
      <c r="N54" s="74">
        <f t="shared" si="12"/>
        <v>8764</v>
      </c>
      <c r="O54" s="131" t="str">
        <f>VLOOKUP(G54,'WAS Domain'!$E$11:$I$25,2,0)&amp;VLOOKUP(G54,'WAS Domain'!$E$11:$I$25,3,0)&amp;VLOOKUP(G54,'WAS Domain'!$E$11:$I$25,4,0)&amp;VLOOKUP(G54,'WAS Domain'!$E$11:$I$25,5,0)&amp;IF(J54="A",0,IF(J54="F",K54,IF(LEFT(G54,3)="FWM",K54,9)))</f>
        <v>13211</v>
      </c>
      <c r="P54" s="123">
        <f t="shared" si="93"/>
        <v>13140</v>
      </c>
      <c r="Q54" s="123">
        <f t="shared" si="94"/>
        <v>15121</v>
      </c>
      <c r="R54" s="123">
        <f t="shared" si="15"/>
        <v>15130</v>
      </c>
      <c r="S54" s="123">
        <f t="shared" si="95"/>
        <v>5131</v>
      </c>
      <c r="T54" s="122" t="s">
        <v>533</v>
      </c>
      <c r="U54" s="122" t="str">
        <f>IF(J54="A","",CONCATENATE(I54,"-A11"))</f>
        <v>P-VMS1-O-A11</v>
      </c>
      <c r="V54" s="122">
        <f>IF(J54="A",512,IF(J54="F",2048,IF(J54="S",1024)))</f>
        <v>2048</v>
      </c>
      <c r="W54" s="122">
        <f>IF(J54="A","",IF(J54="F",(V54/16)*6,IF(J54="S",V54/4)))</f>
        <v>768</v>
      </c>
      <c r="X54" s="122">
        <f>W54</f>
        <v>768</v>
      </c>
      <c r="Y54" s="122">
        <f>IF(J54="A","",IF(J54="F",(V54/16)*4,IF(J54="S",V54/4)))</f>
        <v>512</v>
      </c>
      <c r="Z54" s="122">
        <f>Y54</f>
        <v>512</v>
      </c>
      <c r="AA54" s="121" t="s">
        <v>215</v>
      </c>
      <c r="AB54" s="72" t="str">
        <f t="shared" si="9"/>
        <v>/vms/vms1/wasApp</v>
      </c>
      <c r="AC54" s="122" t="str">
        <f>CONCATENATE("/log/jboss7/",I54,"/",L54)</f>
        <v>/log/jboss7/P-VMS1-O/P-VMS1-O-F11</v>
      </c>
      <c r="AD54" s="121" t="s">
        <v>289</v>
      </c>
      <c r="AE54" s="124" t="s">
        <v>290</v>
      </c>
      <c r="AF54" s="124">
        <v>9998</v>
      </c>
      <c r="AG54" s="125"/>
    </row>
    <row r="55" spans="1:33" s="66" customFormat="1" ht="16.5" customHeight="1">
      <c r="A55" s="104" t="s">
        <v>568</v>
      </c>
      <c r="B55" s="105" t="s">
        <v>569</v>
      </c>
      <c r="C55" s="105">
        <v>2</v>
      </c>
      <c r="D55" s="106" t="s">
        <v>538</v>
      </c>
      <c r="E55" s="106" t="str">
        <f>CONCATENATE(A55,"int","ap0",C55)</f>
        <v>pintap02</v>
      </c>
      <c r="F55" s="107" t="s">
        <v>410</v>
      </c>
      <c r="G55" s="108" t="str">
        <f>VLOOKUP(F55,'Domain별 코드 체계'!$B$5:$J$29,7,0)</f>
        <v>PS91</v>
      </c>
      <c r="H55" s="106" t="s">
        <v>660</v>
      </c>
      <c r="I55" s="105" t="str">
        <f t="shared" si="96"/>
        <v>P-PS91-O</v>
      </c>
      <c r="J55" s="105" t="s">
        <v>663</v>
      </c>
      <c r="K55" s="109">
        <v>1</v>
      </c>
      <c r="L55" s="110" t="str">
        <f>CONCATENATE(I55,"-",J55,C55,K55)</f>
        <v>P-PS91-O-F21</v>
      </c>
      <c r="M55" s="74" t="str">
        <f>IF(J55="S",9, "8")&amp;VLOOKUP(G55,'WAS Domain'!$E$11:$I$25,3,0)&amp;VLOOKUP(G55,'WAS Domain'!$E$11:$I$25,4,0)&amp;VLOOKUP(G55,'WAS Domain'!$E$11:$I$25,5,0)</f>
        <v>8311</v>
      </c>
      <c r="N55" s="74">
        <f t="shared" si="12"/>
        <v>8754</v>
      </c>
      <c r="O55" s="150" t="str">
        <f>VLOOKUP(G55,'WAS Domain'!$E$11:$I$25,2,0)&amp;VLOOKUP(G55,'WAS Domain'!$E$11:$I$25,3,0)&amp;VLOOKUP(G55,'WAS Domain'!$E$11:$I$25,4,0)&amp;VLOOKUP(G55,'WAS Domain'!$E$11:$I$25,5,0)&amp;IF(J55="A",0,IF(J55="F",K55,IF(LEFT(G55,3)="FWM",K55,9)))</f>
        <v>13111</v>
      </c>
      <c r="P55" s="111">
        <f t="shared" si="93"/>
        <v>13040</v>
      </c>
      <c r="Q55" s="111">
        <f t="shared" si="94"/>
        <v>15021</v>
      </c>
      <c r="R55" s="111">
        <f t="shared" si="15"/>
        <v>15030</v>
      </c>
      <c r="S55" s="111">
        <f t="shared" si="95"/>
        <v>5031</v>
      </c>
      <c r="T55" s="110" t="s">
        <v>525</v>
      </c>
      <c r="U55" s="110" t="str">
        <f>IF(J55="A","",CONCATENATE(I55,"-A11"))</f>
        <v>P-PS91-O-A11</v>
      </c>
      <c r="V55" s="110">
        <f>IF(J55="A",512,IF(J55="F",2048,IF(J55="S",1024)))</f>
        <v>2048</v>
      </c>
      <c r="W55" s="110">
        <f>IF(J55="A","",IF(J55="F",(V55/16)*6,IF(J55="S",V55/4)))</f>
        <v>768</v>
      </c>
      <c r="X55" s="110">
        <f>W55</f>
        <v>768</v>
      </c>
      <c r="Y55" s="110">
        <f>IF(J55="A","",IF(J55="F",(V55/16)*4,IF(J55="S",V55/4)))</f>
        <v>512</v>
      </c>
      <c r="Z55" s="110">
        <f>Y55</f>
        <v>512</v>
      </c>
      <c r="AA55" s="109" t="s">
        <v>215</v>
      </c>
      <c r="AB55" s="72" t="str">
        <f t="shared" si="9"/>
        <v>/ps9/ps91/wasApp</v>
      </c>
      <c r="AC55" s="110" t="str">
        <f>CONCATENATE("/log/jboss7/",I55,"/",L55)</f>
        <v>/log/jboss7/P-PS91-O/P-PS91-O-F21</v>
      </c>
      <c r="AD55" s="109" t="s">
        <v>289</v>
      </c>
      <c r="AE55" s="112" t="s">
        <v>290</v>
      </c>
      <c r="AF55" s="112">
        <v>9998</v>
      </c>
      <c r="AG55" s="113"/>
    </row>
    <row r="56" spans="1:33" s="66" customFormat="1" ht="16.5" customHeight="1" thickBot="1">
      <c r="A56" s="116" t="s">
        <v>12</v>
      </c>
      <c r="B56" s="121" t="s">
        <v>647</v>
      </c>
      <c r="C56" s="117">
        <v>2</v>
      </c>
      <c r="D56" s="118" t="s">
        <v>538</v>
      </c>
      <c r="E56" s="118" t="str">
        <f>CONCATENATE(A56,"int","ap0",C56)</f>
        <v>pintap02</v>
      </c>
      <c r="F56" s="119" t="s">
        <v>536</v>
      </c>
      <c r="G56" s="120" t="str">
        <f>VLOOKUP(F56,'Domain별 코드 체계'!$B$5:$J$29,7,0)</f>
        <v>VMS1</v>
      </c>
      <c r="H56" s="118" t="s">
        <v>534</v>
      </c>
      <c r="I56" s="117" t="str">
        <f t="shared" ref="I56" si="98">CONCATENATE(UPPER(IF(A56="d","P",A56)),"-",G56,"-",H56)</f>
        <v>P-VMS1-O</v>
      </c>
      <c r="J56" s="117" t="s">
        <v>535</v>
      </c>
      <c r="K56" s="121">
        <v>1</v>
      </c>
      <c r="L56" s="122" t="str">
        <f t="shared" ref="L56" si="99">CONCATENATE(I56,"-",J56,C56,K56)</f>
        <v>P-VMS1-O-F21</v>
      </c>
      <c r="M56" s="74" t="str">
        <f>IF(J56="S",9, "8")&amp;VLOOKUP(G56,'WAS Domain'!$E$11:$I$25,3,0)&amp;VLOOKUP(G56,'WAS Domain'!$E$11:$I$25,4,0)&amp;VLOOKUP(G56,'WAS Domain'!$E$11:$I$25,5,0)</f>
        <v>8321</v>
      </c>
      <c r="N56" s="74">
        <f t="shared" si="12"/>
        <v>8764</v>
      </c>
      <c r="O56" s="131" t="str">
        <f>VLOOKUP(G56,'WAS Domain'!$E$11:$I$25,2,0)&amp;VLOOKUP(G56,'WAS Domain'!$E$11:$I$25,3,0)&amp;VLOOKUP(G56,'WAS Domain'!$E$11:$I$25,4,0)&amp;VLOOKUP(G56,'WAS Domain'!$E$11:$I$25,5,0)&amp;IF(J56="A",0,IF(J56="F",K56,IF(LEFT(G56,3)="FWM",K56,9)))</f>
        <v>13211</v>
      </c>
      <c r="P56" s="123">
        <f t="shared" ref="P56" si="100">S56+8009</f>
        <v>13140</v>
      </c>
      <c r="Q56" s="123">
        <f t="shared" ref="Q56" si="101">S56+9990</f>
        <v>15121</v>
      </c>
      <c r="R56" s="123">
        <f t="shared" si="15"/>
        <v>15130</v>
      </c>
      <c r="S56" s="123">
        <f t="shared" ref="S56" si="102">O56-8080</f>
        <v>5131</v>
      </c>
      <c r="T56" s="122" t="s">
        <v>533</v>
      </c>
      <c r="U56" s="122" t="str">
        <f>IF(J56="A","",CONCATENATE(I56,"-A11"))</f>
        <v>P-VMS1-O-A11</v>
      </c>
      <c r="V56" s="122">
        <f>IF(J56="A",512,IF(J56="F",2048,IF(J56="S",1024)))</f>
        <v>2048</v>
      </c>
      <c r="W56" s="122">
        <f>IF(J56="A","",IF(J56="F",(V56/16)*6,IF(J56="S",V56/4)))</f>
        <v>768</v>
      </c>
      <c r="X56" s="122">
        <f>W56</f>
        <v>768</v>
      </c>
      <c r="Y56" s="122">
        <f>IF(J56="A","",IF(J56="F",(V56/16)*4,IF(J56="S",V56/4)))</f>
        <v>512</v>
      </c>
      <c r="Z56" s="122">
        <f>Y56</f>
        <v>512</v>
      </c>
      <c r="AA56" s="121" t="s">
        <v>215</v>
      </c>
      <c r="AB56" s="72" t="str">
        <f t="shared" si="9"/>
        <v>/vms/vms1/wasApp</v>
      </c>
      <c r="AC56" s="122" t="str">
        <f>CONCATENATE("/log/jboss7/",I56,"/",L56)</f>
        <v>/log/jboss7/P-VMS1-O/P-VMS1-O-F21</v>
      </c>
      <c r="AD56" s="121" t="s">
        <v>289</v>
      </c>
      <c r="AE56" s="124" t="s">
        <v>290</v>
      </c>
      <c r="AF56" s="124">
        <v>9998</v>
      </c>
      <c r="AG56" s="125"/>
    </row>
    <row r="57" spans="1:33" s="66" customFormat="1" ht="6" customHeight="1">
      <c r="A57" s="134" t="s">
        <v>162</v>
      </c>
      <c r="B57" s="98"/>
      <c r="C57" s="98"/>
      <c r="D57" s="99"/>
      <c r="E57" s="99"/>
      <c r="F57" s="99"/>
      <c r="G57" s="99"/>
      <c r="H57" s="99"/>
      <c r="I57" s="99"/>
      <c r="J57" s="98"/>
      <c r="K57" s="98"/>
      <c r="L57" s="99"/>
      <c r="M57" s="74" t="e">
        <f>IF(J57="S",9, "8")&amp;VLOOKUP(G57,'WAS Domain'!$E$11:$I$25,3,0)&amp;VLOOKUP(G57,'WAS Domain'!$E$11:$I$25,4,0)&amp;VLOOKUP(G57,'WAS Domain'!$E$11:$I$25,5,0)</f>
        <v>#N/A</v>
      </c>
      <c r="N57" s="74" t="e">
        <f t="shared" si="12"/>
        <v>#N/A</v>
      </c>
      <c r="O57" s="99"/>
      <c r="P57" s="99"/>
      <c r="Q57" s="99"/>
      <c r="R57" s="99"/>
      <c r="S57" s="99"/>
      <c r="T57" s="99"/>
      <c r="U57" s="99"/>
      <c r="V57" s="99"/>
      <c r="W57" s="99"/>
      <c r="X57" s="99"/>
      <c r="Y57" s="99"/>
      <c r="Z57" s="99"/>
      <c r="AA57" s="99"/>
      <c r="AB57" s="72" t="str">
        <f t="shared" si="9"/>
        <v>///wasApp</v>
      </c>
      <c r="AC57" s="99"/>
      <c r="AD57" s="99"/>
      <c r="AE57" s="99"/>
      <c r="AF57" s="99"/>
      <c r="AG57" s="99"/>
    </row>
    <row r="58" spans="1:33" s="66" customFormat="1" ht="16.5" customHeight="1">
      <c r="A58" s="8" t="s">
        <v>140</v>
      </c>
      <c r="B58" s="8" t="s">
        <v>679</v>
      </c>
      <c r="C58" s="8">
        <v>1</v>
      </c>
      <c r="D58" s="67" t="s">
        <v>539</v>
      </c>
      <c r="E58" s="157" t="str">
        <f>CONCATENATE(A58,"ico","ap0",C58)</f>
        <v>ticoap01</v>
      </c>
      <c r="F58" s="158" t="s">
        <v>687</v>
      </c>
      <c r="G58" s="159" t="str">
        <f>VLOOKUP(F58,'Domain별 코드 체계'!$B$5:$J$29,7,0)</f>
        <v>SV11</v>
      </c>
      <c r="H58" s="157" t="s">
        <v>5</v>
      </c>
      <c r="I58" s="160" t="str">
        <f t="shared" ref="I58:I75" si="103">CONCATENATE(UPPER(IF(A58="d","P",A58)),"-",G58,"-",H58)</f>
        <v>T-SV11-O</v>
      </c>
      <c r="J58" s="160" t="s">
        <v>560</v>
      </c>
      <c r="K58" s="160">
        <v>1</v>
      </c>
      <c r="L58" s="157" t="str">
        <f t="shared" ref="L58:L75" si="104">CONCATENATE(I58,"-",J58,C58,K58)</f>
        <v>T-SV11-O-F11</v>
      </c>
      <c r="M58" s="161" t="str">
        <f>IF(J58="S",9, "8")&amp;VLOOKUP(G58,'WAS Domain'!$E$11:$I$25,3,0)&amp;VLOOKUP(G58,'WAS Domain'!$E$11:$I$25,4,0)&amp;VLOOKUP(G58,'WAS Domain'!$E$11:$I$25,5,0)</f>
        <v>8111</v>
      </c>
      <c r="N58" s="161">
        <f t="shared" si="12"/>
        <v>8554</v>
      </c>
      <c r="O58" s="161" t="str">
        <f>VLOOKUP(G58,'WAS Domain'!$E$11:$I$25,2,0)&amp;VLOOKUP(G58,'WAS Domain'!$E$11:$I$25,3,0)&amp;VLOOKUP(G58,'WAS Domain'!$E$11:$I$25,4,0)&amp;VLOOKUP(G58,'WAS Domain'!$E$11:$I$25,5,0)&amp;IF(J58="A",0,IF(J58="F",K58,IF(LEFT(G58,3)="FWM",K58,9)))</f>
        <v>11111</v>
      </c>
      <c r="P58" s="161">
        <f t="shared" ref="P58:P86" si="105">S58+8009</f>
        <v>11040</v>
      </c>
      <c r="Q58" s="161">
        <f t="shared" ref="Q58:Q86" si="106">S58+9990</f>
        <v>13021</v>
      </c>
      <c r="R58" s="161">
        <f t="shared" si="15"/>
        <v>13030</v>
      </c>
      <c r="S58" s="161">
        <f t="shared" ref="S58:S86" si="107">O58-8080</f>
        <v>3031</v>
      </c>
      <c r="T58" s="157" t="s">
        <v>495</v>
      </c>
      <c r="U58" s="72" t="str">
        <f t="shared" ref="U58:U62" si="108">IF(J58="A","",CONCATENATE(I58,"-A11"))</f>
        <v>T-SV11-O-A11</v>
      </c>
      <c r="V58" s="72">
        <f t="shared" ref="V58:V60" si="109">IF(J58="A",512,IF(J58="F",2048,IF(J58="S",1024)))</f>
        <v>2048</v>
      </c>
      <c r="W58" s="72">
        <f t="shared" ref="W58:W60" si="110">IF(J58="A","",IF(J58="F",(V58/16)*6,IF(J58="S",V58/4)))</f>
        <v>768</v>
      </c>
      <c r="X58" s="72">
        <f t="shared" ref="X58:X60" si="111">W58</f>
        <v>768</v>
      </c>
      <c r="Y58" s="72">
        <f t="shared" ref="Y58:Y60" si="112">IF(J58="A","",IF(J58="F",(V58/16)*4,IF(J58="S",V58/4)))</f>
        <v>512</v>
      </c>
      <c r="Z58" s="72">
        <f t="shared" ref="Z58:Z60" si="113">Y58</f>
        <v>512</v>
      </c>
      <c r="AA58" s="81" t="s">
        <v>215</v>
      </c>
      <c r="AB58" s="72" t="str">
        <f t="shared" si="9"/>
        <v>/sv1/sv11/wasApp</v>
      </c>
      <c r="AC58" s="72" t="str">
        <f t="shared" ref="AC58:AC60" si="114">CONCATENATE("/log/jboss7/",I58,"/",L58)</f>
        <v>/log/jboss7/T-SV11-O/T-SV11-O-F11</v>
      </c>
      <c r="AD58" s="72"/>
      <c r="AE58" s="72"/>
      <c r="AF58" s="72"/>
      <c r="AG58" s="72"/>
    </row>
    <row r="59" spans="1:33" s="66" customFormat="1" ht="16.5" customHeight="1">
      <c r="A59" s="8" t="s">
        <v>140</v>
      </c>
      <c r="B59" s="8" t="s">
        <v>679</v>
      </c>
      <c r="C59" s="8">
        <v>1</v>
      </c>
      <c r="D59" s="67" t="s">
        <v>539</v>
      </c>
      <c r="E59" s="157" t="str">
        <f t="shared" ref="E59:E75" si="115">CONCATENATE(A59,"ico","ap0",C59)</f>
        <v>ticoap01</v>
      </c>
      <c r="F59" s="158" t="s">
        <v>684</v>
      </c>
      <c r="G59" s="159" t="str">
        <f>VLOOKUP(F59,'Domain별 코드 체계'!$B$5:$J$29,7,0)</f>
        <v>SV12</v>
      </c>
      <c r="H59" s="157" t="s">
        <v>5</v>
      </c>
      <c r="I59" s="160" t="str">
        <f t="shared" si="103"/>
        <v>T-SV12-O</v>
      </c>
      <c r="J59" s="160" t="s">
        <v>662</v>
      </c>
      <c r="K59" s="160">
        <v>1</v>
      </c>
      <c r="L59" s="157" t="str">
        <f t="shared" si="104"/>
        <v>T-SV12-O-S11</v>
      </c>
      <c r="M59" s="161" t="str">
        <f>IF(J59="S",9, "8")&amp;VLOOKUP(G59,'WAS Domain'!$E$11:$I$25,3,0)&amp;VLOOKUP(G59,'WAS Domain'!$E$11:$I$25,4,0)&amp;VLOOKUP(G59,'WAS Domain'!$E$11:$I$25,5,0)</f>
        <v>9112</v>
      </c>
      <c r="N59" s="161">
        <f t="shared" si="12"/>
        <v>9555</v>
      </c>
      <c r="O59" s="161" t="str">
        <f>VLOOKUP(G59,'WAS Domain'!$E$11:$I$25,2,0)&amp;VLOOKUP(G59,'WAS Domain'!$E$11:$I$25,3,0)&amp;VLOOKUP(G59,'WAS Domain'!$E$11:$I$25,4,0)&amp;VLOOKUP(G59,'WAS Domain'!$E$11:$I$25,5,0)&amp;IF(J59="A",0,IF(J59="F",K59,IF(LEFT(G59,3)="FWM",K59,9)))</f>
        <v>11129</v>
      </c>
      <c r="P59" s="161">
        <f t="shared" si="105"/>
        <v>11058</v>
      </c>
      <c r="Q59" s="161">
        <f t="shared" si="106"/>
        <v>13039</v>
      </c>
      <c r="R59" s="161">
        <f t="shared" si="15"/>
        <v>13048</v>
      </c>
      <c r="S59" s="161">
        <f t="shared" si="107"/>
        <v>3049</v>
      </c>
      <c r="T59" s="157" t="s">
        <v>497</v>
      </c>
      <c r="U59" s="72" t="str">
        <f t="shared" si="108"/>
        <v>T-SV12-O-A11</v>
      </c>
      <c r="V59" s="72">
        <f t="shared" si="109"/>
        <v>1024</v>
      </c>
      <c r="W59" s="72">
        <f t="shared" si="110"/>
        <v>256</v>
      </c>
      <c r="X59" s="72">
        <f t="shared" si="111"/>
        <v>256</v>
      </c>
      <c r="Y59" s="72">
        <f t="shared" si="112"/>
        <v>256</v>
      </c>
      <c r="Z59" s="72">
        <f t="shared" si="113"/>
        <v>256</v>
      </c>
      <c r="AA59" s="81" t="s">
        <v>215</v>
      </c>
      <c r="AB59" s="72" t="str">
        <f t="shared" si="9"/>
        <v>/sv1/sv12/wasAdminApp</v>
      </c>
      <c r="AC59" s="72" t="str">
        <f t="shared" si="114"/>
        <v>/log/jboss7/T-SV12-O/T-SV12-O-S11</v>
      </c>
      <c r="AD59" s="72"/>
      <c r="AE59" s="72"/>
      <c r="AF59" s="72"/>
      <c r="AG59" s="72"/>
    </row>
    <row r="60" spans="1:33" s="66" customFormat="1" ht="16.5" customHeight="1">
      <c r="A60" s="8" t="s">
        <v>140</v>
      </c>
      <c r="B60" s="8" t="s">
        <v>679</v>
      </c>
      <c r="C60" s="8">
        <v>1</v>
      </c>
      <c r="D60" s="67" t="s">
        <v>539</v>
      </c>
      <c r="E60" s="157" t="str">
        <f t="shared" si="115"/>
        <v>ticoap01</v>
      </c>
      <c r="F60" s="158" t="s">
        <v>689</v>
      </c>
      <c r="G60" s="159" t="str">
        <f>VLOOKUP(F60,'Domain별 코드 체계'!$B$5:$J$29,7,0)</f>
        <v>SV13</v>
      </c>
      <c r="H60" s="157" t="s">
        <v>5</v>
      </c>
      <c r="I60" s="160" t="str">
        <f t="shared" si="103"/>
        <v>T-SV13-O</v>
      </c>
      <c r="J60" s="160" t="s">
        <v>560</v>
      </c>
      <c r="K60" s="160">
        <v>1</v>
      </c>
      <c r="L60" s="157" t="str">
        <f t="shared" si="104"/>
        <v>T-SV13-O-F11</v>
      </c>
      <c r="M60" s="161" t="str">
        <f>IF(J60="S",9, "8")&amp;VLOOKUP(G60,'WAS Domain'!$E$11:$I$25,3,0)&amp;VLOOKUP(G60,'WAS Domain'!$E$11:$I$25,4,0)&amp;VLOOKUP(G60,'WAS Domain'!$E$11:$I$25,5,0)</f>
        <v>8113</v>
      </c>
      <c r="N60" s="161">
        <f t="shared" si="12"/>
        <v>8556</v>
      </c>
      <c r="O60" s="161" t="str">
        <f>VLOOKUP(G60,'WAS Domain'!$E$11:$I$25,2,0)&amp;VLOOKUP(G60,'WAS Domain'!$E$11:$I$25,3,0)&amp;VLOOKUP(G60,'WAS Domain'!$E$11:$I$25,4,0)&amp;VLOOKUP(G60,'WAS Domain'!$E$11:$I$25,5,0)&amp;IF(J60="A",0,IF(J60="F",K60,IF(LEFT(G60,3)="FWM",K60,9)))</f>
        <v>11131</v>
      </c>
      <c r="P60" s="161">
        <f t="shared" si="105"/>
        <v>11060</v>
      </c>
      <c r="Q60" s="161">
        <f t="shared" si="106"/>
        <v>13041</v>
      </c>
      <c r="R60" s="161">
        <f t="shared" si="15"/>
        <v>13050</v>
      </c>
      <c r="S60" s="161">
        <f t="shared" si="107"/>
        <v>3051</v>
      </c>
      <c r="T60" s="157" t="s">
        <v>498</v>
      </c>
      <c r="U60" s="72" t="str">
        <f t="shared" si="108"/>
        <v>T-SV13-O-A11</v>
      </c>
      <c r="V60" s="72">
        <f t="shared" si="109"/>
        <v>2048</v>
      </c>
      <c r="W60" s="72">
        <f t="shared" si="110"/>
        <v>768</v>
      </c>
      <c r="X60" s="72">
        <f t="shared" si="111"/>
        <v>768</v>
      </c>
      <c r="Y60" s="72">
        <f t="shared" si="112"/>
        <v>512</v>
      </c>
      <c r="Z60" s="72">
        <f t="shared" si="113"/>
        <v>512</v>
      </c>
      <c r="AA60" s="81" t="s">
        <v>215</v>
      </c>
      <c r="AB60" s="72" t="str">
        <f t="shared" si="9"/>
        <v>/sv1/sv13/wasApp</v>
      </c>
      <c r="AC60" s="72" t="str">
        <f t="shared" si="114"/>
        <v>/log/jboss7/T-SV13-O/T-SV13-O-F11</v>
      </c>
      <c r="AD60" s="15"/>
      <c r="AE60" s="16"/>
      <c r="AF60" s="16"/>
      <c r="AG60" s="72"/>
    </row>
    <row r="61" spans="1:33" s="66" customFormat="1" ht="16.5" customHeight="1">
      <c r="A61" s="8" t="s">
        <v>140</v>
      </c>
      <c r="B61" s="8" t="s">
        <v>679</v>
      </c>
      <c r="C61" s="8">
        <v>1</v>
      </c>
      <c r="D61" s="67" t="s">
        <v>539</v>
      </c>
      <c r="E61" s="157" t="str">
        <f t="shared" si="115"/>
        <v>ticoap01</v>
      </c>
      <c r="F61" s="158" t="s">
        <v>692</v>
      </c>
      <c r="G61" s="159" t="str">
        <f>VLOOKUP(F61,'Domain별 코드 체계'!$B$5:$J$29,7,0)</f>
        <v>SV14</v>
      </c>
      <c r="H61" s="157" t="s">
        <v>661</v>
      </c>
      <c r="I61" s="160" t="str">
        <f t="shared" si="103"/>
        <v>T-SV14-O</v>
      </c>
      <c r="J61" s="160" t="s">
        <v>524</v>
      </c>
      <c r="K61" s="160">
        <v>1</v>
      </c>
      <c r="L61" s="157" t="str">
        <f t="shared" si="104"/>
        <v>T-SV14-O-S11</v>
      </c>
      <c r="M61" s="161" t="str">
        <f>IF(J61="S",9, "8")&amp;VLOOKUP(G61,'WAS Domain'!$E$11:$I$25,3,0)&amp;VLOOKUP(G61,'WAS Domain'!$E$11:$I$25,4,0)&amp;VLOOKUP(G61,'WAS Domain'!$E$11:$I$25,5,0)</f>
        <v>9114</v>
      </c>
      <c r="N61" s="161">
        <f t="shared" si="12"/>
        <v>9557</v>
      </c>
      <c r="O61" s="161" t="str">
        <f>VLOOKUP(G61,'WAS Domain'!$E$11:$I$25,2,0)&amp;VLOOKUP(G61,'WAS Domain'!$E$11:$I$25,3,0)&amp;VLOOKUP(G61,'WAS Domain'!$E$11:$I$25,4,0)&amp;VLOOKUP(G61,'WAS Domain'!$E$11:$I$25,5,0)&amp;IF(J61="A",0,IF(J61="F",K61,IF(LEFT(G61,3)="FWM",K61,9)))</f>
        <v>11149</v>
      </c>
      <c r="P61" s="161">
        <f t="shared" si="105"/>
        <v>11078</v>
      </c>
      <c r="Q61" s="161">
        <f t="shared" si="106"/>
        <v>13059</v>
      </c>
      <c r="R61" s="161">
        <f t="shared" si="15"/>
        <v>13068</v>
      </c>
      <c r="S61" s="161">
        <f t="shared" si="107"/>
        <v>3069</v>
      </c>
      <c r="T61" s="157" t="s">
        <v>499</v>
      </c>
      <c r="U61" s="72" t="str">
        <f t="shared" si="108"/>
        <v>T-SV14-O-A11</v>
      </c>
      <c r="V61" s="72">
        <f>IF(J61="A",512,IF(J61="F",2048,IF(J61="S",1024)))</f>
        <v>1024</v>
      </c>
      <c r="W61" s="72">
        <f>IF(J61="A","",IF(J61="F",(V61/16)*6,IF(J61="S",V61/4)))</f>
        <v>256</v>
      </c>
      <c r="X61" s="72">
        <f t="shared" ref="X61:X75" si="116">W61</f>
        <v>256</v>
      </c>
      <c r="Y61" s="72">
        <f>IF(J61="A","",IF(J61="F",(V61/16)*4,IF(J61="S",V61/4)))</f>
        <v>256</v>
      </c>
      <c r="Z61" s="72">
        <f t="shared" ref="Z61:Z75" si="117">Y61</f>
        <v>256</v>
      </c>
      <c r="AA61" s="143" t="s">
        <v>215</v>
      </c>
      <c r="AB61" s="72" t="str">
        <f t="shared" si="9"/>
        <v>/sv1/sv14/wasAdminApp</v>
      </c>
      <c r="AC61" s="72" t="str">
        <f>CONCATENATE("/log/jboss7/",I61,"/",L61)</f>
        <v>/log/jboss7/T-SV14-O/T-SV14-O-S11</v>
      </c>
      <c r="AD61" s="72"/>
      <c r="AE61" s="72"/>
      <c r="AF61" s="72"/>
      <c r="AG61" s="72"/>
    </row>
    <row r="62" spans="1:33" s="66" customFormat="1" ht="16.5" customHeight="1">
      <c r="A62" s="8" t="s">
        <v>140</v>
      </c>
      <c r="B62" s="8" t="s">
        <v>438</v>
      </c>
      <c r="C62" s="8">
        <v>1</v>
      </c>
      <c r="D62" s="67" t="s">
        <v>539</v>
      </c>
      <c r="E62" s="157" t="str">
        <f t="shared" si="115"/>
        <v>ticoap01</v>
      </c>
      <c r="F62" s="162" t="s">
        <v>540</v>
      </c>
      <c r="G62" s="163" t="str">
        <f>VLOOKUP(F62,'Domain별 코드 체계'!$B$5:$J$29,7,0)</f>
        <v>BE11</v>
      </c>
      <c r="H62" s="164" t="s">
        <v>559</v>
      </c>
      <c r="I62" s="165" t="str">
        <f t="shared" si="103"/>
        <v>T-BE11-O</v>
      </c>
      <c r="J62" s="165" t="s">
        <v>560</v>
      </c>
      <c r="K62" s="165">
        <v>1</v>
      </c>
      <c r="L62" s="164" t="str">
        <f t="shared" si="104"/>
        <v>T-BE11-O-F11</v>
      </c>
      <c r="M62" s="161" t="str">
        <f>IF(J62="S",9, "8")&amp;VLOOKUP(G62,'WAS Domain'!$E$11:$I$25,3,0)&amp;VLOOKUP(G62,'WAS Domain'!$E$11:$I$25,4,0)&amp;VLOOKUP(G62,'WAS Domain'!$E$11:$I$25,5,0)</f>
        <v>8231</v>
      </c>
      <c r="N62" s="161">
        <f t="shared" si="12"/>
        <v>8674</v>
      </c>
      <c r="O62" s="161" t="str">
        <f>VLOOKUP(G62,'WAS Domain'!$E$11:$I$25,2,0)&amp;VLOOKUP(G62,'WAS Domain'!$E$11:$I$25,3,0)&amp;VLOOKUP(G62,'WAS Domain'!$E$11:$I$25,4,0)&amp;VLOOKUP(G62,'WAS Domain'!$E$11:$I$25,5,0)&amp;IF(J62="A",0,IF(J62="F",K62,IF(LEFT(G62,3)="FWM",K62,9)))</f>
        <v>12311</v>
      </c>
      <c r="P62" s="166">
        <f t="shared" si="105"/>
        <v>12240</v>
      </c>
      <c r="Q62" s="166">
        <f t="shared" si="106"/>
        <v>14221</v>
      </c>
      <c r="R62" s="166">
        <f t="shared" si="15"/>
        <v>14230</v>
      </c>
      <c r="S62" s="166">
        <f t="shared" si="107"/>
        <v>4231</v>
      </c>
      <c r="T62" s="164" t="s">
        <v>509</v>
      </c>
      <c r="U62" s="146" t="str">
        <f t="shared" si="108"/>
        <v>T-BE11-O-A11</v>
      </c>
      <c r="V62" s="146">
        <f>IF(J62="A",512,IF(J62="F",2048,IF(J62="S",1024)))</f>
        <v>2048</v>
      </c>
      <c r="W62" s="146">
        <f>IF(J62="A","",IF(J62="F",(V62/16)*6,IF(J62="S",V62/4)))</f>
        <v>768</v>
      </c>
      <c r="X62" s="146">
        <f t="shared" si="116"/>
        <v>768</v>
      </c>
      <c r="Y62" s="146">
        <f>IF(J62="A","",IF(J62="F",(V62/16)*4,IF(J62="S",V62/4)))</f>
        <v>512</v>
      </c>
      <c r="Z62" s="146">
        <f t="shared" si="117"/>
        <v>512</v>
      </c>
      <c r="AA62" s="149" t="s">
        <v>215</v>
      </c>
      <c r="AB62" s="72" t="str">
        <f t="shared" si="9"/>
        <v>/be1/be11/wasApp</v>
      </c>
      <c r="AC62" s="72" t="str">
        <f>CONCATENATE("/log/jboss7/",I62,"/",L62)</f>
        <v>/log/jboss7/T-BE11-O/T-BE11-O-F11</v>
      </c>
      <c r="AD62" s="72"/>
      <c r="AE62" s="72"/>
      <c r="AF62" s="72"/>
      <c r="AG62" s="72"/>
    </row>
    <row r="63" spans="1:33" s="66" customFormat="1" ht="16.5" customHeight="1">
      <c r="A63" s="8" t="s">
        <v>140</v>
      </c>
      <c r="B63" s="8" t="s">
        <v>452</v>
      </c>
      <c r="C63" s="8">
        <v>1</v>
      </c>
      <c r="D63" s="67" t="s">
        <v>539</v>
      </c>
      <c r="E63" s="157" t="str">
        <f t="shared" ref="E63" si="118">CONCATENATE(A63,"ico","ap0",C63)</f>
        <v>ticoap01</v>
      </c>
      <c r="F63" s="158" t="s">
        <v>541</v>
      </c>
      <c r="G63" s="159" t="str">
        <f>VLOOKUP(F63,'Domain별 코드 체계'!$B$5:$J$29,7,0)</f>
        <v>PQ11</v>
      </c>
      <c r="H63" s="157" t="s">
        <v>5</v>
      </c>
      <c r="I63" s="160" t="str">
        <f t="shared" ref="I63" si="119">CONCATENATE(UPPER(IF(A63="d","P",A63)),"-",G63,"-",H63)</f>
        <v>T-PQ11-O</v>
      </c>
      <c r="J63" s="160" t="s">
        <v>560</v>
      </c>
      <c r="K63" s="160">
        <v>1</v>
      </c>
      <c r="L63" s="157" t="str">
        <f t="shared" ref="L63" si="120">CONCATENATE(I63,"-",J63,C63,K63)</f>
        <v>T-PQ11-O-F11</v>
      </c>
      <c r="M63" s="161" t="str">
        <f>IF(J63="S",9, "8")&amp;VLOOKUP(G63,'WAS Domain'!$E$11:$I$25,3,0)&amp;VLOOKUP(G63,'WAS Domain'!$E$11:$I$25,4,0)&amp;VLOOKUP(G63,'WAS Domain'!$E$11:$I$25,5,0)</f>
        <v>8221</v>
      </c>
      <c r="N63" s="161">
        <f t="shared" si="12"/>
        <v>8664</v>
      </c>
      <c r="O63" s="161" t="str">
        <f>VLOOKUP(G63,'WAS Domain'!$E$11:$I$25,2,0)&amp;VLOOKUP(G63,'WAS Domain'!$E$11:$I$25,3,0)&amp;VLOOKUP(G63,'WAS Domain'!$E$11:$I$25,4,0)&amp;VLOOKUP(G63,'WAS Domain'!$E$11:$I$25,5,0)&amp;IF(J63="A",0,IF(J63="F",K63,IF(LEFT(G63,3)="FWM",K63,9)))</f>
        <v>12211</v>
      </c>
      <c r="P63" s="161">
        <f t="shared" si="105"/>
        <v>12140</v>
      </c>
      <c r="Q63" s="161">
        <f t="shared" si="106"/>
        <v>14121</v>
      </c>
      <c r="R63" s="161">
        <f t="shared" si="15"/>
        <v>14130</v>
      </c>
      <c r="S63" s="161">
        <f t="shared" si="107"/>
        <v>4131</v>
      </c>
      <c r="T63" s="157" t="s">
        <v>556</v>
      </c>
      <c r="U63" s="72" t="str">
        <f t="shared" ref="U63" si="121">IF(J63="A","",CONCATENATE(I63,"-A11"))</f>
        <v>T-PQ11-O-A11</v>
      </c>
      <c r="V63" s="72">
        <f t="shared" ref="V63" si="122">IF(J63="A",512,IF(J63="F",2048,IF(J63="S",1024)))</f>
        <v>2048</v>
      </c>
      <c r="W63" s="72">
        <f t="shared" ref="W63" si="123">IF(J63="A","",IF(J63="F",(V63/16)*6,IF(J63="S",V63/4)))</f>
        <v>768</v>
      </c>
      <c r="X63" s="72">
        <f t="shared" ref="X63" si="124">W63</f>
        <v>768</v>
      </c>
      <c r="Y63" s="72">
        <f t="shared" ref="Y63" si="125">IF(J63="A","",IF(J63="F",(V63/16)*4,IF(J63="S",V63/4)))</f>
        <v>512</v>
      </c>
      <c r="Z63" s="72">
        <f t="shared" ref="Z63" si="126">Y63</f>
        <v>512</v>
      </c>
      <c r="AA63" s="81" t="s">
        <v>215</v>
      </c>
      <c r="AB63" s="72" t="str">
        <f t="shared" si="9"/>
        <v>/pq1/pq11/wasApp</v>
      </c>
      <c r="AC63" s="72" t="str">
        <f>CONCATENATE("/log/jboss7/",I63,"/",L63)</f>
        <v>/log/jboss7/T-PQ11-O/T-PQ11-O-F11</v>
      </c>
      <c r="AD63" s="72"/>
      <c r="AE63" s="72"/>
      <c r="AF63" s="72"/>
      <c r="AG63" s="72"/>
    </row>
    <row r="64" spans="1:33" s="66" customFormat="1" ht="16.5" customHeight="1">
      <c r="A64" s="8" t="s">
        <v>140</v>
      </c>
      <c r="B64" s="8" t="s">
        <v>452</v>
      </c>
      <c r="C64" s="8">
        <v>1</v>
      </c>
      <c r="D64" s="67" t="s">
        <v>539</v>
      </c>
      <c r="E64" s="157" t="str">
        <f t="shared" si="115"/>
        <v>ticoap01</v>
      </c>
      <c r="F64" s="158" t="s">
        <v>541</v>
      </c>
      <c r="G64" s="159" t="str">
        <f>VLOOKUP(F64,'Domain별 코드 체계'!$B$5:$J$29,7,0)</f>
        <v>PQ11</v>
      </c>
      <c r="H64" s="157" t="s">
        <v>5</v>
      </c>
      <c r="I64" s="160" t="str">
        <f t="shared" si="103"/>
        <v>T-PQ11-O</v>
      </c>
      <c r="J64" s="160" t="s">
        <v>662</v>
      </c>
      <c r="K64" s="160">
        <v>1</v>
      </c>
      <c r="L64" s="157" t="str">
        <f t="shared" si="104"/>
        <v>T-PQ11-O-S11</v>
      </c>
      <c r="M64" s="161" t="str">
        <f>IF(J64="S",9, "8")&amp;VLOOKUP(G64,'WAS Domain'!$E$11:$I$25,3,0)&amp;VLOOKUP(G64,'WAS Domain'!$E$11:$I$25,4,0)&amp;VLOOKUP(G64,'WAS Domain'!$E$11:$I$25,5,0)</f>
        <v>9221</v>
      </c>
      <c r="N64" s="161">
        <f t="shared" si="12"/>
        <v>9664</v>
      </c>
      <c r="O64" s="161" t="str">
        <f>VLOOKUP(G64,'WAS Domain'!$E$11:$I$25,2,0)&amp;VLOOKUP(G64,'WAS Domain'!$E$11:$I$25,3,0)&amp;VLOOKUP(G64,'WAS Domain'!$E$11:$I$25,4,0)&amp;VLOOKUP(G64,'WAS Domain'!$E$11:$I$25,5,0)&amp;IF(J64="A",0,IF(J64="F",K64,IF(LEFT(G64,3)="FWM",K64,9)))</f>
        <v>12219</v>
      </c>
      <c r="P64" s="161">
        <f t="shared" si="105"/>
        <v>12148</v>
      </c>
      <c r="Q64" s="161">
        <f t="shared" si="106"/>
        <v>14129</v>
      </c>
      <c r="R64" s="161">
        <f t="shared" si="15"/>
        <v>14138</v>
      </c>
      <c r="S64" s="161">
        <f t="shared" si="107"/>
        <v>4139</v>
      </c>
      <c r="T64" s="157" t="s">
        <v>550</v>
      </c>
      <c r="U64" s="72" t="str">
        <f t="shared" ref="U64:U75" si="127">IF(J64="A","",CONCATENATE(I64,"-A11"))</f>
        <v>T-PQ11-O-A11</v>
      </c>
      <c r="V64" s="72">
        <f t="shared" ref="V64:V75" si="128">IF(J64="A",512,IF(J64="F",2048,IF(J64="S",1024)))</f>
        <v>1024</v>
      </c>
      <c r="W64" s="72">
        <f t="shared" ref="W64:W75" si="129">IF(J64="A","",IF(J64="F",(V64/16)*6,IF(J64="S",V64/4)))</f>
        <v>256</v>
      </c>
      <c r="X64" s="72">
        <f t="shared" si="116"/>
        <v>256</v>
      </c>
      <c r="Y64" s="72">
        <f t="shared" ref="Y64:Y75" si="130">IF(J64="A","",IF(J64="F",(V64/16)*4,IF(J64="S",V64/4)))</f>
        <v>256</v>
      </c>
      <c r="Z64" s="72">
        <f t="shared" si="117"/>
        <v>256</v>
      </c>
      <c r="AA64" s="15" t="s">
        <v>215</v>
      </c>
      <c r="AB64" s="72" t="str">
        <f t="shared" si="9"/>
        <v>/pq1/pq11/wasAdminApp</v>
      </c>
      <c r="AC64" s="72" t="str">
        <f>CONCATENATE("/log/jboss7/",I64,"/",L64)</f>
        <v>/log/jboss7/T-PQ11-O/T-PQ11-O-S11</v>
      </c>
      <c r="AD64" s="72"/>
      <c r="AE64" s="72"/>
      <c r="AF64" s="72"/>
      <c r="AG64" s="72"/>
    </row>
    <row r="65" spans="1:33" s="169" customFormat="1" ht="16.5" customHeight="1">
      <c r="A65" s="114" t="s">
        <v>557</v>
      </c>
      <c r="B65" s="8" t="s">
        <v>439</v>
      </c>
      <c r="C65" s="8">
        <v>1</v>
      </c>
      <c r="D65" s="67" t="s">
        <v>539</v>
      </c>
      <c r="E65" s="157" t="str">
        <f t="shared" si="115"/>
        <v>ticoap01</v>
      </c>
      <c r="F65" s="158" t="s">
        <v>505</v>
      </c>
      <c r="G65" s="159" t="str">
        <f>VLOOKUP(F65,'Domain별 코드 체계'!$B$5:$J$29,7,0)</f>
        <v>SP11</v>
      </c>
      <c r="H65" s="157" t="s">
        <v>5</v>
      </c>
      <c r="I65" s="160" t="str">
        <f t="shared" si="103"/>
        <v>T-SP11-O</v>
      </c>
      <c r="J65" s="160" t="s">
        <v>291</v>
      </c>
      <c r="K65" s="160">
        <v>1</v>
      </c>
      <c r="L65" s="157" t="str">
        <f t="shared" si="104"/>
        <v>T-SP11-O-F11</v>
      </c>
      <c r="M65" s="161" t="str">
        <f>IF(J65="S",9, "8")&amp;VLOOKUP(G65,'WAS Domain'!$E$11:$I$25,3,0)&amp;VLOOKUP(G65,'WAS Domain'!$E$11:$I$25,4,0)&amp;VLOOKUP(G65,'WAS Domain'!$E$11:$I$25,5,0)</f>
        <v>8211</v>
      </c>
      <c r="N65" s="161">
        <f t="shared" si="12"/>
        <v>8654</v>
      </c>
      <c r="O65" s="161" t="str">
        <f>VLOOKUP(G65,'WAS Domain'!$E$11:$I$25,2,0)&amp;VLOOKUP(G65,'WAS Domain'!$E$11:$I$25,3,0)&amp;VLOOKUP(G65,'WAS Domain'!$E$11:$I$25,4,0)&amp;VLOOKUP(G65,'WAS Domain'!$E$11:$I$25,5,0)&amp;IF(J65="A",0,IF(J65="F",K65,IF(LEFT(G65,3)="FWM",K65,9)))</f>
        <v>12111</v>
      </c>
      <c r="P65" s="161">
        <f t="shared" si="105"/>
        <v>12040</v>
      </c>
      <c r="Q65" s="161">
        <f t="shared" si="106"/>
        <v>14021</v>
      </c>
      <c r="R65" s="161">
        <f t="shared" si="15"/>
        <v>14030</v>
      </c>
      <c r="S65" s="161">
        <f t="shared" si="107"/>
        <v>4031</v>
      </c>
      <c r="T65" s="157" t="s">
        <v>551</v>
      </c>
      <c r="U65" s="67" t="str">
        <f t="shared" si="127"/>
        <v>T-SP11-O-A11</v>
      </c>
      <c r="V65" s="67">
        <f t="shared" si="128"/>
        <v>2048</v>
      </c>
      <c r="W65" s="67">
        <f t="shared" si="129"/>
        <v>768</v>
      </c>
      <c r="X65" s="67">
        <f t="shared" si="116"/>
        <v>768</v>
      </c>
      <c r="Y65" s="67">
        <f t="shared" si="130"/>
        <v>512</v>
      </c>
      <c r="Z65" s="67">
        <f t="shared" si="117"/>
        <v>512</v>
      </c>
      <c r="AA65" s="8" t="s">
        <v>215</v>
      </c>
      <c r="AB65" s="67" t="str">
        <f t="shared" si="9"/>
        <v>/sp1/sp11/wasApp</v>
      </c>
      <c r="AC65" s="67" t="str">
        <f t="shared" ref="AC65:AC75" si="131">CONCATENATE("/log/jboss7/",I65,"/",L65)</f>
        <v>/log/jboss7/T-SP11-O/T-SP11-O-F11</v>
      </c>
      <c r="AD65" s="8"/>
      <c r="AE65" s="129"/>
      <c r="AF65" s="129"/>
      <c r="AG65" s="130"/>
    </row>
    <row r="66" spans="1:33" s="169" customFormat="1" ht="16.5" customHeight="1">
      <c r="A66" s="114" t="s">
        <v>557</v>
      </c>
      <c r="B66" s="8" t="s">
        <v>439</v>
      </c>
      <c r="C66" s="8">
        <v>1</v>
      </c>
      <c r="D66" s="67" t="s">
        <v>539</v>
      </c>
      <c r="E66" s="157" t="str">
        <f t="shared" si="115"/>
        <v>ticoap01</v>
      </c>
      <c r="F66" s="158" t="s">
        <v>505</v>
      </c>
      <c r="G66" s="159" t="str">
        <f>VLOOKUP(F66,'Domain별 코드 체계'!$B$5:$J$29,7,0)</f>
        <v>SP11</v>
      </c>
      <c r="H66" s="157" t="s">
        <v>5</v>
      </c>
      <c r="I66" s="160" t="str">
        <f t="shared" si="103"/>
        <v>T-SP11-O</v>
      </c>
      <c r="J66" s="160" t="s">
        <v>662</v>
      </c>
      <c r="K66" s="160">
        <v>1</v>
      </c>
      <c r="L66" s="157" t="str">
        <f t="shared" si="104"/>
        <v>T-SP11-O-S11</v>
      </c>
      <c r="M66" s="161" t="str">
        <f>IF(J66="S",9, "8")&amp;VLOOKUP(G66,'WAS Domain'!$E$11:$I$25,3,0)&amp;VLOOKUP(G66,'WAS Domain'!$E$11:$I$25,4,0)&amp;VLOOKUP(G66,'WAS Domain'!$E$11:$I$25,5,0)</f>
        <v>9211</v>
      </c>
      <c r="N66" s="161">
        <f t="shared" si="12"/>
        <v>9654</v>
      </c>
      <c r="O66" s="161" t="str">
        <f>VLOOKUP(G66,'WAS Domain'!$E$11:$I$25,2,0)&amp;VLOOKUP(G66,'WAS Domain'!$E$11:$I$25,3,0)&amp;VLOOKUP(G66,'WAS Domain'!$E$11:$I$25,4,0)&amp;VLOOKUP(G66,'WAS Domain'!$E$11:$I$25,5,0)&amp;IF(J66="A",0,IF(J66="F",K66,IF(LEFT(G66,3)="FWM",K66,9)))</f>
        <v>12119</v>
      </c>
      <c r="P66" s="161">
        <f t="shared" si="105"/>
        <v>12048</v>
      </c>
      <c r="Q66" s="161">
        <f t="shared" si="106"/>
        <v>14029</v>
      </c>
      <c r="R66" s="161">
        <f t="shared" si="15"/>
        <v>14038</v>
      </c>
      <c r="S66" s="161">
        <f t="shared" si="107"/>
        <v>4039</v>
      </c>
      <c r="T66" s="157" t="s">
        <v>552</v>
      </c>
      <c r="U66" s="67" t="str">
        <f t="shared" si="127"/>
        <v>T-SP11-O-A11</v>
      </c>
      <c r="V66" s="67">
        <f t="shared" si="128"/>
        <v>1024</v>
      </c>
      <c r="W66" s="67">
        <f t="shared" si="129"/>
        <v>256</v>
      </c>
      <c r="X66" s="67">
        <f t="shared" si="116"/>
        <v>256</v>
      </c>
      <c r="Y66" s="67">
        <f t="shared" si="130"/>
        <v>256</v>
      </c>
      <c r="Z66" s="67">
        <f t="shared" si="117"/>
        <v>256</v>
      </c>
      <c r="AA66" s="8" t="s">
        <v>215</v>
      </c>
      <c r="AB66" s="67" t="str">
        <f t="shared" si="9"/>
        <v>/sp1/sp11/wasAdminApp</v>
      </c>
      <c r="AC66" s="67" t="str">
        <f t="shared" si="131"/>
        <v>/log/jboss7/T-SP11-O/T-SP11-O-S11</v>
      </c>
      <c r="AD66" s="8"/>
      <c r="AE66" s="129"/>
      <c r="AF66" s="129"/>
      <c r="AG66" s="130"/>
    </row>
    <row r="67" spans="1:33" s="66" customFormat="1" ht="16.5" customHeight="1">
      <c r="A67" s="8" t="s">
        <v>140</v>
      </c>
      <c r="B67" s="81" t="s">
        <v>441</v>
      </c>
      <c r="C67" s="8">
        <v>1</v>
      </c>
      <c r="D67" s="157" t="s">
        <v>539</v>
      </c>
      <c r="E67" s="157" t="str">
        <f t="shared" si="115"/>
        <v>ticoap01</v>
      </c>
      <c r="F67" s="158" t="s">
        <v>542</v>
      </c>
      <c r="G67" s="159" t="str">
        <f>VLOOKUP(F67,'Domain별 코드 체계'!$B$5:$J$29,7,0)</f>
        <v>BIM1</v>
      </c>
      <c r="H67" s="157" t="s">
        <v>660</v>
      </c>
      <c r="I67" s="160" t="str">
        <f t="shared" si="103"/>
        <v>T-BIM1-O</v>
      </c>
      <c r="J67" s="160" t="s">
        <v>291</v>
      </c>
      <c r="K67" s="160">
        <v>1</v>
      </c>
      <c r="L67" s="157" t="str">
        <f t="shared" si="104"/>
        <v>T-BIM1-O-F11</v>
      </c>
      <c r="M67" s="161" t="str">
        <f>IF(J67="S",9, "8")&amp;VLOOKUP(G67,'WAS Domain'!$E$11:$I$25,3,0)&amp;VLOOKUP(G67,'WAS Domain'!$E$11:$I$25,4,0)&amp;VLOOKUP(G67,'WAS Domain'!$E$11:$I$25,5,0)</f>
        <v>8261</v>
      </c>
      <c r="N67" s="161">
        <f t="shared" si="12"/>
        <v>8704</v>
      </c>
      <c r="O67" s="161" t="str">
        <f>VLOOKUP(G67,'WAS Domain'!$E$11:$I$25,2,0)&amp;VLOOKUP(G67,'WAS Domain'!$E$11:$I$25,3,0)&amp;VLOOKUP(G67,'WAS Domain'!$E$11:$I$25,4,0)&amp;VLOOKUP(G67,'WAS Domain'!$E$11:$I$25,5,0)&amp;IF(J67="A",0,IF(J67="F",K67,IF(LEFT(G67,3)="FWM",K67,9)))</f>
        <v>12611</v>
      </c>
      <c r="P67" s="161">
        <f t="shared" si="105"/>
        <v>12540</v>
      </c>
      <c r="Q67" s="161">
        <f t="shared" si="106"/>
        <v>14521</v>
      </c>
      <c r="R67" s="161">
        <f t="shared" si="15"/>
        <v>14530</v>
      </c>
      <c r="S67" s="161">
        <f t="shared" si="107"/>
        <v>4531</v>
      </c>
      <c r="T67" s="157" t="s">
        <v>514</v>
      </c>
      <c r="U67" s="72" t="str">
        <f t="shared" si="127"/>
        <v>T-BIM1-O-A11</v>
      </c>
      <c r="V67" s="72">
        <f t="shared" si="128"/>
        <v>2048</v>
      </c>
      <c r="W67" s="72">
        <f t="shared" si="129"/>
        <v>768</v>
      </c>
      <c r="X67" s="72">
        <f t="shared" si="116"/>
        <v>768</v>
      </c>
      <c r="Y67" s="72">
        <f t="shared" si="130"/>
        <v>512</v>
      </c>
      <c r="Z67" s="72">
        <f t="shared" si="117"/>
        <v>512</v>
      </c>
      <c r="AA67" s="15" t="s">
        <v>215</v>
      </c>
      <c r="AB67" s="72" t="str">
        <f t="shared" si="9"/>
        <v>/bim/bim1/wasApp</v>
      </c>
      <c r="AC67" s="72" t="str">
        <f t="shared" si="131"/>
        <v>/log/jboss7/T-BIM1-O/T-BIM1-O-F11</v>
      </c>
      <c r="AD67" s="72"/>
      <c r="AE67" s="72"/>
      <c r="AF67" s="72"/>
      <c r="AG67" s="72"/>
    </row>
    <row r="68" spans="1:33" s="66" customFormat="1" ht="16.5" customHeight="1">
      <c r="A68" s="8" t="s">
        <v>140</v>
      </c>
      <c r="B68" s="81" t="s">
        <v>503</v>
      </c>
      <c r="C68" s="8">
        <v>1</v>
      </c>
      <c r="D68" s="157" t="s">
        <v>539</v>
      </c>
      <c r="E68" s="157" t="str">
        <f t="shared" si="115"/>
        <v>ticoap01</v>
      </c>
      <c r="F68" s="158" t="s">
        <v>543</v>
      </c>
      <c r="G68" s="159" t="str">
        <f>VLOOKUP(F68,'Domain별 코드 체계'!$B$5:$J$29,7,0)</f>
        <v>GE21</v>
      </c>
      <c r="H68" s="157" t="s">
        <v>5</v>
      </c>
      <c r="I68" s="160" t="str">
        <f t="shared" si="103"/>
        <v>T-GE21-O</v>
      </c>
      <c r="J68" s="160" t="s">
        <v>560</v>
      </c>
      <c r="K68" s="160">
        <v>1</v>
      </c>
      <c r="L68" s="157" t="str">
        <f t="shared" si="104"/>
        <v>T-GE21-O-F11</v>
      </c>
      <c r="M68" s="161" t="str">
        <f>IF(J68="S",9, "8")&amp;VLOOKUP(G68,'WAS Domain'!$E$11:$I$25,3,0)&amp;VLOOKUP(G68,'WAS Domain'!$E$11:$I$25,4,0)&amp;VLOOKUP(G68,'WAS Domain'!$E$11:$I$25,5,0)</f>
        <v>8241</v>
      </c>
      <c r="N68" s="161">
        <f t="shared" si="12"/>
        <v>8684</v>
      </c>
      <c r="O68" s="161" t="str">
        <f>VLOOKUP(G68,'WAS Domain'!$E$11:$I$25,2,0)&amp;VLOOKUP(G68,'WAS Domain'!$E$11:$I$25,3,0)&amp;VLOOKUP(G68,'WAS Domain'!$E$11:$I$25,4,0)&amp;VLOOKUP(G68,'WAS Domain'!$E$11:$I$25,5,0)&amp;IF(J68="A",0,IF(J68="F",K68,IF(LEFT(G68,3)="FWM",K68,9)))</f>
        <v>12411</v>
      </c>
      <c r="P68" s="161">
        <f t="shared" si="105"/>
        <v>12340</v>
      </c>
      <c r="Q68" s="161">
        <f t="shared" si="106"/>
        <v>14321</v>
      </c>
      <c r="R68" s="161">
        <f t="shared" si="15"/>
        <v>14330</v>
      </c>
      <c r="S68" s="161">
        <f t="shared" si="107"/>
        <v>4331</v>
      </c>
      <c r="T68" s="157" t="s">
        <v>558</v>
      </c>
      <c r="U68" s="72" t="str">
        <f t="shared" si="127"/>
        <v>T-GE21-O-A11</v>
      </c>
      <c r="V68" s="72">
        <f t="shared" si="128"/>
        <v>2048</v>
      </c>
      <c r="W68" s="72">
        <f t="shared" si="129"/>
        <v>768</v>
      </c>
      <c r="X68" s="72">
        <f t="shared" si="116"/>
        <v>768</v>
      </c>
      <c r="Y68" s="72">
        <f t="shared" si="130"/>
        <v>512</v>
      </c>
      <c r="Z68" s="72">
        <f t="shared" si="117"/>
        <v>512</v>
      </c>
      <c r="AA68" s="15" t="s">
        <v>215</v>
      </c>
      <c r="AB68" s="72" t="str">
        <f t="shared" si="9"/>
        <v>/ge2/ge21/wasApp</v>
      </c>
      <c r="AC68" s="72" t="str">
        <f t="shared" si="131"/>
        <v>/log/jboss7/T-GE21-O/T-GE21-O-F11</v>
      </c>
      <c r="AD68" s="72"/>
      <c r="AE68" s="72"/>
      <c r="AF68" s="72"/>
      <c r="AG68" s="72"/>
    </row>
    <row r="69" spans="1:33" s="66" customFormat="1" ht="16.5" customHeight="1">
      <c r="A69" s="8" t="s">
        <v>140</v>
      </c>
      <c r="B69" s="81" t="s">
        <v>503</v>
      </c>
      <c r="C69" s="8">
        <v>1</v>
      </c>
      <c r="D69" s="157" t="s">
        <v>539</v>
      </c>
      <c r="E69" s="157" t="str">
        <f t="shared" si="115"/>
        <v>ticoap01</v>
      </c>
      <c r="F69" s="158" t="s">
        <v>543</v>
      </c>
      <c r="G69" s="159" t="str">
        <f>VLOOKUP(F69,'Domain별 코드 체계'!$B$5:$J$29,7,0)</f>
        <v>GE21</v>
      </c>
      <c r="H69" s="157" t="s">
        <v>660</v>
      </c>
      <c r="I69" s="160" t="str">
        <f t="shared" si="103"/>
        <v>T-GE21-O</v>
      </c>
      <c r="J69" s="160" t="s">
        <v>524</v>
      </c>
      <c r="K69" s="160">
        <v>1</v>
      </c>
      <c r="L69" s="157" t="str">
        <f t="shared" si="104"/>
        <v>T-GE21-O-S11</v>
      </c>
      <c r="M69" s="161" t="str">
        <f>IF(J69="S",9, "8")&amp;VLOOKUP(G69,'WAS Domain'!$E$11:$I$25,3,0)&amp;VLOOKUP(G69,'WAS Domain'!$E$11:$I$25,4,0)&amp;VLOOKUP(G69,'WAS Domain'!$E$11:$I$25,5,0)</f>
        <v>9241</v>
      </c>
      <c r="N69" s="161">
        <f t="shared" si="12"/>
        <v>9684</v>
      </c>
      <c r="O69" s="161" t="str">
        <f>VLOOKUP(G69,'WAS Domain'!$E$11:$I$25,2,0)&amp;VLOOKUP(G69,'WAS Domain'!$E$11:$I$25,3,0)&amp;VLOOKUP(G69,'WAS Domain'!$E$11:$I$25,4,0)&amp;VLOOKUP(G69,'WAS Domain'!$E$11:$I$25,5,0)&amp;IF(J69="A",0,IF(J69="F",K69,IF(LEFT(G69,3)="FWM",K69,9)))</f>
        <v>12419</v>
      </c>
      <c r="P69" s="161">
        <f t="shared" si="105"/>
        <v>12348</v>
      </c>
      <c r="Q69" s="161">
        <f t="shared" si="106"/>
        <v>14329</v>
      </c>
      <c r="R69" s="161">
        <f t="shared" si="15"/>
        <v>14338</v>
      </c>
      <c r="S69" s="161">
        <f t="shared" si="107"/>
        <v>4339</v>
      </c>
      <c r="T69" s="157" t="s">
        <v>553</v>
      </c>
      <c r="U69" s="72" t="str">
        <f t="shared" si="127"/>
        <v>T-GE21-O-A11</v>
      </c>
      <c r="V69" s="72">
        <f t="shared" si="128"/>
        <v>1024</v>
      </c>
      <c r="W69" s="72">
        <f t="shared" si="129"/>
        <v>256</v>
      </c>
      <c r="X69" s="72">
        <f t="shared" si="116"/>
        <v>256</v>
      </c>
      <c r="Y69" s="72">
        <f t="shared" si="130"/>
        <v>256</v>
      </c>
      <c r="Z69" s="72">
        <f t="shared" si="117"/>
        <v>256</v>
      </c>
      <c r="AA69" s="15" t="s">
        <v>215</v>
      </c>
      <c r="AB69" s="72" t="str">
        <f t="shared" si="9"/>
        <v>/ge2/ge21/wasAdminApp</v>
      </c>
      <c r="AC69" s="72" t="str">
        <f t="shared" si="131"/>
        <v>/log/jboss7/T-GE21-O/T-GE21-O-S11</v>
      </c>
      <c r="AD69" s="72"/>
      <c r="AE69" s="72"/>
      <c r="AF69" s="72"/>
      <c r="AG69" s="72"/>
    </row>
    <row r="70" spans="1:33" s="169" customFormat="1" ht="16.5" customHeight="1">
      <c r="A70" s="8" t="s">
        <v>140</v>
      </c>
      <c r="B70" s="8" t="s">
        <v>445</v>
      </c>
      <c r="C70" s="8">
        <v>1</v>
      </c>
      <c r="D70" s="157" t="s">
        <v>539</v>
      </c>
      <c r="E70" s="157" t="str">
        <f t="shared" si="115"/>
        <v>ticoap01</v>
      </c>
      <c r="F70" s="158" t="s">
        <v>544</v>
      </c>
      <c r="G70" s="159" t="str">
        <f>VLOOKUP(F70,'Domain별 코드 체계'!$B$5:$J$29,7,0)</f>
        <v>MS71</v>
      </c>
      <c r="H70" s="157" t="s">
        <v>5</v>
      </c>
      <c r="I70" s="160" t="str">
        <f t="shared" si="103"/>
        <v>T-MS71-O</v>
      </c>
      <c r="J70" s="160" t="s">
        <v>291</v>
      </c>
      <c r="K70" s="160">
        <v>1</v>
      </c>
      <c r="L70" s="157" t="str">
        <f t="shared" si="104"/>
        <v>T-MS71-O-F11</v>
      </c>
      <c r="M70" s="161" t="str">
        <f>IF(J70="S",9, "8")&amp;VLOOKUP(G70,'WAS Domain'!$E$11:$I$25,3,0)&amp;VLOOKUP(G70,'WAS Domain'!$E$11:$I$25,4,0)&amp;VLOOKUP(G70,'WAS Domain'!$E$11:$I$25,5,0)</f>
        <v>8251</v>
      </c>
      <c r="N70" s="161">
        <f t="shared" si="12"/>
        <v>8694</v>
      </c>
      <c r="O70" s="161" t="str">
        <f>VLOOKUP(G70,'WAS Domain'!$E$11:$I$25,2,0)&amp;VLOOKUP(G70,'WAS Domain'!$E$11:$I$25,3,0)&amp;VLOOKUP(G70,'WAS Domain'!$E$11:$I$25,4,0)&amp;VLOOKUP(G70,'WAS Domain'!$E$11:$I$25,5,0)&amp;IF(J70="A",0,IF(J70="F",K70,IF(LEFT(G70,3)="FWM",K70,9)))</f>
        <v>12511</v>
      </c>
      <c r="P70" s="161">
        <f t="shared" si="105"/>
        <v>12440</v>
      </c>
      <c r="Q70" s="161">
        <f t="shared" si="106"/>
        <v>14421</v>
      </c>
      <c r="R70" s="161">
        <f t="shared" ref="R70:R86" si="132">S70+9999</f>
        <v>14430</v>
      </c>
      <c r="S70" s="161">
        <f t="shared" si="107"/>
        <v>4431</v>
      </c>
      <c r="T70" s="157" t="s">
        <v>518</v>
      </c>
      <c r="U70" s="67" t="str">
        <f t="shared" si="127"/>
        <v>T-MS71-O-A11</v>
      </c>
      <c r="V70" s="67">
        <f t="shared" si="128"/>
        <v>2048</v>
      </c>
      <c r="W70" s="67">
        <f t="shared" si="129"/>
        <v>768</v>
      </c>
      <c r="X70" s="67">
        <f t="shared" si="116"/>
        <v>768</v>
      </c>
      <c r="Y70" s="67">
        <f t="shared" si="130"/>
        <v>512</v>
      </c>
      <c r="Z70" s="67">
        <f t="shared" si="117"/>
        <v>512</v>
      </c>
      <c r="AA70" s="8" t="s">
        <v>215</v>
      </c>
      <c r="AB70" s="67" t="str">
        <f t="shared" si="9"/>
        <v>/ms7/ms71/wasApp</v>
      </c>
      <c r="AC70" s="67" t="str">
        <f t="shared" si="131"/>
        <v>/log/jboss7/T-MS71-O/T-MS71-O-F11</v>
      </c>
      <c r="AD70" s="67"/>
      <c r="AE70" s="67"/>
      <c r="AF70" s="67"/>
      <c r="AG70" s="67"/>
    </row>
    <row r="71" spans="1:33" s="66" customFormat="1" ht="16.5" customHeight="1">
      <c r="A71" s="8" t="s">
        <v>140</v>
      </c>
      <c r="B71" s="81" t="s">
        <v>447</v>
      </c>
      <c r="C71" s="8">
        <v>1</v>
      </c>
      <c r="D71" s="67" t="s">
        <v>539</v>
      </c>
      <c r="E71" s="157" t="str">
        <f t="shared" si="115"/>
        <v>ticoap01</v>
      </c>
      <c r="F71" s="158" t="s">
        <v>545</v>
      </c>
      <c r="G71" s="159" t="str">
        <f>VLOOKUP(F71,'Domain별 코드 체계'!$B$5:$J$29,7,0)</f>
        <v>WO11</v>
      </c>
      <c r="H71" s="157" t="s">
        <v>660</v>
      </c>
      <c r="I71" s="160" t="str">
        <f t="shared" si="103"/>
        <v>T-WO11-O</v>
      </c>
      <c r="J71" s="160" t="s">
        <v>560</v>
      </c>
      <c r="K71" s="160">
        <v>1</v>
      </c>
      <c r="L71" s="157" t="str">
        <f t="shared" si="104"/>
        <v>T-WO11-O-F11</v>
      </c>
      <c r="M71" s="161" t="str">
        <f>IF(J71="S",9, "8")&amp;VLOOKUP(G71,'WAS Domain'!$E$11:$I$25,3,0)&amp;VLOOKUP(G71,'WAS Domain'!$E$11:$I$25,4,0)&amp;VLOOKUP(G71,'WAS Domain'!$E$11:$I$25,5,0)</f>
        <v>8271</v>
      </c>
      <c r="N71" s="161">
        <f t="shared" si="12"/>
        <v>8714</v>
      </c>
      <c r="O71" s="161" t="str">
        <f>VLOOKUP(G71,'WAS Domain'!$E$11:$I$25,2,0)&amp;VLOOKUP(G71,'WAS Domain'!$E$11:$I$25,3,0)&amp;VLOOKUP(G71,'WAS Domain'!$E$11:$I$25,4,0)&amp;VLOOKUP(G71,'WAS Domain'!$E$11:$I$25,5,0)&amp;IF(J71="A",0,IF(J71="F",K71,IF(LEFT(G71,3)="FWM",K71,9)))</f>
        <v>12711</v>
      </c>
      <c r="P71" s="161">
        <f t="shared" si="105"/>
        <v>12640</v>
      </c>
      <c r="Q71" s="161">
        <f t="shared" si="106"/>
        <v>14621</v>
      </c>
      <c r="R71" s="161">
        <f t="shared" si="132"/>
        <v>14630</v>
      </c>
      <c r="S71" s="161">
        <f t="shared" si="107"/>
        <v>4631</v>
      </c>
      <c r="T71" s="157" t="s">
        <v>521</v>
      </c>
      <c r="U71" s="72" t="str">
        <f t="shared" si="127"/>
        <v>T-WO11-O-A11</v>
      </c>
      <c r="V71" s="72">
        <f t="shared" si="128"/>
        <v>2048</v>
      </c>
      <c r="W71" s="72">
        <f t="shared" si="129"/>
        <v>768</v>
      </c>
      <c r="X71" s="72">
        <f t="shared" si="116"/>
        <v>768</v>
      </c>
      <c r="Y71" s="72">
        <f t="shared" si="130"/>
        <v>512</v>
      </c>
      <c r="Z71" s="72">
        <f t="shared" si="117"/>
        <v>512</v>
      </c>
      <c r="AA71" s="15" t="s">
        <v>215</v>
      </c>
      <c r="AB71" s="72" t="str">
        <f t="shared" ref="AB71:AB86" si="133">IF(J71="S",CONCATENATE("/",LOWER(B71),"/",LOWER(LEFT(G71,4)),"/wasAdminApp"),CONCATENATE("/",LOWER(B71),"/",LOWER(LEFT(G71,4)),"/wasApp"))</f>
        <v>/wo1/wo11/wasApp</v>
      </c>
      <c r="AC71" s="72" t="str">
        <f t="shared" si="131"/>
        <v>/log/jboss7/T-WO11-O/T-WO11-O-F11</v>
      </c>
      <c r="AD71" s="72"/>
      <c r="AE71" s="72"/>
      <c r="AF71" s="72"/>
      <c r="AG71" s="72"/>
    </row>
    <row r="72" spans="1:33" s="66" customFormat="1" ht="16.5" customHeight="1">
      <c r="A72" s="8" t="s">
        <v>140</v>
      </c>
      <c r="B72" s="81" t="s">
        <v>447</v>
      </c>
      <c r="C72" s="8">
        <v>1</v>
      </c>
      <c r="D72" s="67" t="s">
        <v>539</v>
      </c>
      <c r="E72" s="157" t="str">
        <f t="shared" si="115"/>
        <v>ticoap01</v>
      </c>
      <c r="F72" s="158" t="s">
        <v>546</v>
      </c>
      <c r="G72" s="159" t="str">
        <f>VLOOKUP(F72,'Domain별 코드 체계'!$B$5:$J$29,7,0)</f>
        <v>WO12</v>
      </c>
      <c r="H72" s="157" t="s">
        <v>660</v>
      </c>
      <c r="I72" s="160" t="str">
        <f t="shared" si="103"/>
        <v>T-WO12-O</v>
      </c>
      <c r="J72" s="160" t="s">
        <v>662</v>
      </c>
      <c r="K72" s="160">
        <v>1</v>
      </c>
      <c r="L72" s="157" t="str">
        <f t="shared" si="104"/>
        <v>T-WO12-O-S11</v>
      </c>
      <c r="M72" s="161" t="str">
        <f>IF(J72="S",9, "8")&amp;VLOOKUP(G72,'WAS Domain'!$E$11:$I$25,3,0)&amp;VLOOKUP(G72,'WAS Domain'!$E$11:$I$25,4,0)&amp;VLOOKUP(G72,'WAS Domain'!$E$11:$I$25,5,0)</f>
        <v>9272</v>
      </c>
      <c r="N72" s="161">
        <f t="shared" ref="N72:N75" si="134">M72+443</f>
        <v>9715</v>
      </c>
      <c r="O72" s="161" t="str">
        <f>VLOOKUP(G72,'WAS Domain'!$E$11:$I$25,2,0)&amp;VLOOKUP(G72,'WAS Domain'!$E$11:$I$25,3,0)&amp;VLOOKUP(G72,'WAS Domain'!$E$11:$I$25,4,0)&amp;VLOOKUP(G72,'WAS Domain'!$E$11:$I$25,5,0)&amp;IF(J72="A",0,IF(J72="F",K72,IF(LEFT(G72,3)="FWM",K72,9)))</f>
        <v>12729</v>
      </c>
      <c r="P72" s="161">
        <f t="shared" si="105"/>
        <v>12658</v>
      </c>
      <c r="Q72" s="161">
        <f t="shared" si="106"/>
        <v>14639</v>
      </c>
      <c r="R72" s="161">
        <f t="shared" si="132"/>
        <v>14648</v>
      </c>
      <c r="S72" s="161">
        <f t="shared" si="107"/>
        <v>4649</v>
      </c>
      <c r="T72" s="157" t="s">
        <v>522</v>
      </c>
      <c r="U72" s="72" t="str">
        <f t="shared" si="127"/>
        <v>T-WO12-O-A11</v>
      </c>
      <c r="V72" s="72">
        <f t="shared" si="128"/>
        <v>1024</v>
      </c>
      <c r="W72" s="72">
        <f t="shared" si="129"/>
        <v>256</v>
      </c>
      <c r="X72" s="72">
        <f t="shared" si="116"/>
        <v>256</v>
      </c>
      <c r="Y72" s="72">
        <f t="shared" si="130"/>
        <v>256</v>
      </c>
      <c r="Z72" s="72">
        <f t="shared" si="117"/>
        <v>256</v>
      </c>
      <c r="AA72" s="15" t="s">
        <v>215</v>
      </c>
      <c r="AB72" s="72" t="str">
        <f t="shared" si="133"/>
        <v>/wo1/wo12/wasAdminApp</v>
      </c>
      <c r="AC72" s="72" t="str">
        <f t="shared" si="131"/>
        <v>/log/jboss7/T-WO12-O/T-WO12-O-S11</v>
      </c>
      <c r="AD72" s="72"/>
      <c r="AE72" s="72"/>
      <c r="AF72" s="72"/>
      <c r="AG72" s="72"/>
    </row>
    <row r="73" spans="1:33" s="66" customFormat="1" ht="16.5" customHeight="1">
      <c r="A73" s="8" t="s">
        <v>140</v>
      </c>
      <c r="B73" s="94" t="s">
        <v>447</v>
      </c>
      <c r="C73" s="8">
        <v>1</v>
      </c>
      <c r="D73" s="67" t="s">
        <v>539</v>
      </c>
      <c r="E73" s="157" t="str">
        <f t="shared" si="115"/>
        <v>ticoap01</v>
      </c>
      <c r="F73" s="158" t="s">
        <v>547</v>
      </c>
      <c r="G73" s="159" t="str">
        <f>VLOOKUP(F73,'Domain별 코드 체계'!$B$5:$J$29,7,0)</f>
        <v>WO13</v>
      </c>
      <c r="H73" s="157" t="s">
        <v>660</v>
      </c>
      <c r="I73" s="160" t="str">
        <f t="shared" ref="I73" si="135">CONCATENATE(UPPER(IF(A73="d","P",A73)),"-",G73,"-",H73)</f>
        <v>T-WO13-O</v>
      </c>
      <c r="J73" s="160" t="s">
        <v>662</v>
      </c>
      <c r="K73" s="160">
        <v>1</v>
      </c>
      <c r="L73" s="157" t="str">
        <f t="shared" si="104"/>
        <v>T-WO13-O-S11</v>
      </c>
      <c r="M73" s="161" t="str">
        <f>IF(J73="S",9, "8")&amp;VLOOKUP(G73,'WAS Domain'!$E$11:$I$25,3,0)&amp;VLOOKUP(G73,'WAS Domain'!$E$11:$I$25,4,0)&amp;VLOOKUP(G73,'WAS Domain'!$E$11:$I$25,5,0)</f>
        <v>9273</v>
      </c>
      <c r="N73" s="161">
        <f t="shared" si="134"/>
        <v>9716</v>
      </c>
      <c r="O73" s="161" t="str">
        <f>VLOOKUP(G73,'WAS Domain'!$E$11:$I$25,2,0)&amp;VLOOKUP(G73,'WAS Domain'!$E$11:$I$25,3,0)&amp;VLOOKUP(G73,'WAS Domain'!$E$11:$I$25,4,0)&amp;VLOOKUP(G73,'WAS Domain'!$E$11:$I$25,5,0)&amp;IF(J73="A",0,IF(J73="F",K73,IF(LEFT(G73,3)="FWM",K73,9)))</f>
        <v>12739</v>
      </c>
      <c r="P73" s="161">
        <f t="shared" si="105"/>
        <v>12668</v>
      </c>
      <c r="Q73" s="161">
        <f t="shared" si="106"/>
        <v>14649</v>
      </c>
      <c r="R73" s="161">
        <f t="shared" si="132"/>
        <v>14658</v>
      </c>
      <c r="S73" s="161">
        <f t="shared" si="107"/>
        <v>4659</v>
      </c>
      <c r="T73" s="157" t="s">
        <v>523</v>
      </c>
      <c r="U73" s="72" t="str">
        <f t="shared" si="127"/>
        <v>T-WO13-O-A11</v>
      </c>
      <c r="V73" s="72">
        <f t="shared" si="128"/>
        <v>1024</v>
      </c>
      <c r="W73" s="72">
        <f t="shared" si="129"/>
        <v>256</v>
      </c>
      <c r="X73" s="72">
        <f t="shared" ref="X73" si="136">W73</f>
        <v>256</v>
      </c>
      <c r="Y73" s="72">
        <f t="shared" si="130"/>
        <v>256</v>
      </c>
      <c r="Z73" s="72">
        <f t="shared" ref="Z73" si="137">Y73</f>
        <v>256</v>
      </c>
      <c r="AA73" s="15" t="s">
        <v>215</v>
      </c>
      <c r="AB73" s="72" t="str">
        <f t="shared" si="133"/>
        <v>/wo1/wo13/wasAdminApp</v>
      </c>
      <c r="AC73" s="72" t="str">
        <f t="shared" si="131"/>
        <v>/log/jboss7/T-WO13-O/T-WO13-O-S11</v>
      </c>
      <c r="AD73" s="72"/>
      <c r="AE73" s="72"/>
      <c r="AF73" s="72"/>
      <c r="AG73" s="72"/>
    </row>
    <row r="74" spans="1:33" s="66" customFormat="1" ht="16.5" customHeight="1">
      <c r="A74" s="8" t="s">
        <v>140</v>
      </c>
      <c r="B74" s="8" t="s">
        <v>529</v>
      </c>
      <c r="C74" s="8">
        <v>1</v>
      </c>
      <c r="D74" s="67" t="s">
        <v>539</v>
      </c>
      <c r="E74" s="157" t="str">
        <f t="shared" si="115"/>
        <v>ticoap01</v>
      </c>
      <c r="F74" s="158" t="s">
        <v>548</v>
      </c>
      <c r="G74" s="159" t="str">
        <f>VLOOKUP(F74,'Domain별 코드 체계'!$B$5:$J$29,7,0)</f>
        <v>PS91</v>
      </c>
      <c r="H74" s="157" t="s">
        <v>660</v>
      </c>
      <c r="I74" s="160" t="str">
        <f t="shared" si="103"/>
        <v>T-PS91-O</v>
      </c>
      <c r="J74" s="160" t="s">
        <v>664</v>
      </c>
      <c r="K74" s="160">
        <v>1</v>
      </c>
      <c r="L74" s="157" t="str">
        <f t="shared" si="104"/>
        <v>T-PS91-O-F11</v>
      </c>
      <c r="M74" s="161" t="str">
        <f>IF(J74="S",9, "8")&amp;VLOOKUP(G74,'WAS Domain'!$E$11:$I$25,3,0)&amp;VLOOKUP(G74,'WAS Domain'!$E$11:$I$25,4,0)&amp;VLOOKUP(G74,'WAS Domain'!$E$11:$I$25,5,0)</f>
        <v>8311</v>
      </c>
      <c r="N74" s="161">
        <f t="shared" si="134"/>
        <v>8754</v>
      </c>
      <c r="O74" s="161" t="str">
        <f>VLOOKUP(G74,'WAS Domain'!$E$11:$I$25,2,0)&amp;VLOOKUP(G74,'WAS Domain'!$E$11:$I$25,3,0)&amp;VLOOKUP(G74,'WAS Domain'!$E$11:$I$25,4,0)&amp;VLOOKUP(G74,'WAS Domain'!$E$11:$I$25,5,0)&amp;IF(J74="A",0,IF(J74="F",K74,IF(LEFT(G74,3)="FWM",K74,9)))</f>
        <v>13111</v>
      </c>
      <c r="P74" s="161">
        <f t="shared" si="105"/>
        <v>13040</v>
      </c>
      <c r="Q74" s="161">
        <f t="shared" si="106"/>
        <v>15021</v>
      </c>
      <c r="R74" s="161">
        <f t="shared" si="132"/>
        <v>15030</v>
      </c>
      <c r="S74" s="161">
        <f t="shared" si="107"/>
        <v>5031</v>
      </c>
      <c r="T74" s="164" t="s">
        <v>525</v>
      </c>
      <c r="U74" s="72" t="str">
        <f t="shared" si="127"/>
        <v>T-PS91-O-A11</v>
      </c>
      <c r="V74" s="72">
        <f t="shared" si="128"/>
        <v>2048</v>
      </c>
      <c r="W74" s="72">
        <f t="shared" si="129"/>
        <v>768</v>
      </c>
      <c r="X74" s="72">
        <f t="shared" si="116"/>
        <v>768</v>
      </c>
      <c r="Y74" s="72">
        <f t="shared" si="130"/>
        <v>512</v>
      </c>
      <c r="Z74" s="72">
        <f t="shared" si="117"/>
        <v>512</v>
      </c>
      <c r="AA74" s="15" t="s">
        <v>215</v>
      </c>
      <c r="AB74" s="72" t="str">
        <f t="shared" si="133"/>
        <v>/ps9/ps91/wasApp</v>
      </c>
      <c r="AC74" s="72" t="str">
        <f t="shared" si="131"/>
        <v>/log/jboss7/T-PS91-O/T-PS91-O-F11</v>
      </c>
      <c r="AD74" s="72"/>
      <c r="AE74" s="72"/>
      <c r="AF74" s="72"/>
      <c r="AG74" s="72"/>
    </row>
    <row r="75" spans="1:33" s="66" customFormat="1" ht="16.5" customHeight="1">
      <c r="A75" s="8" t="s">
        <v>140</v>
      </c>
      <c r="B75" s="91" t="s">
        <v>666</v>
      </c>
      <c r="C75" s="8">
        <v>1</v>
      </c>
      <c r="D75" s="67" t="s">
        <v>539</v>
      </c>
      <c r="E75" s="157" t="str">
        <f t="shared" si="115"/>
        <v>ticoap01</v>
      </c>
      <c r="F75" s="167" t="s">
        <v>536</v>
      </c>
      <c r="G75" s="159" t="str">
        <f>VLOOKUP(F75,'Domain별 코드 체계'!$B$5:$J$29,7,0)</f>
        <v>VMS1</v>
      </c>
      <c r="H75" s="157" t="s">
        <v>5</v>
      </c>
      <c r="I75" s="160" t="str">
        <f t="shared" si="103"/>
        <v>T-VMS1-O</v>
      </c>
      <c r="J75" s="160" t="s">
        <v>664</v>
      </c>
      <c r="K75" s="160">
        <v>1</v>
      </c>
      <c r="L75" s="157" t="str">
        <f t="shared" si="104"/>
        <v>T-VMS1-O-F11</v>
      </c>
      <c r="M75" s="161" t="str">
        <f>IF(J75="S",9, "8")&amp;VLOOKUP(G75,'WAS Domain'!$E$11:$I$25,3,0)&amp;VLOOKUP(G75,'WAS Domain'!$E$11:$I$25,4,0)&amp;VLOOKUP(G75,'WAS Domain'!$E$11:$I$25,5,0)</f>
        <v>8321</v>
      </c>
      <c r="N75" s="161">
        <f t="shared" si="134"/>
        <v>8764</v>
      </c>
      <c r="O75" s="161" t="str">
        <f>VLOOKUP(G75,'WAS Domain'!$E$11:$I$25,2,0)&amp;VLOOKUP(G75,'WAS Domain'!$E$11:$I$25,3,0)&amp;VLOOKUP(G75,'WAS Domain'!$E$11:$I$25,4,0)&amp;VLOOKUP(G75,'WAS Domain'!$E$11:$I$25,5,0)&amp;IF(J75="A",0,IF(J75="F",K75,IF(LEFT(G75,3)="FWM",K75,9)))</f>
        <v>13211</v>
      </c>
      <c r="P75" s="161">
        <f t="shared" ref="P75" si="138">S75+8009</f>
        <v>13140</v>
      </c>
      <c r="Q75" s="161">
        <f t="shared" ref="Q75" si="139">S75+9990</f>
        <v>15121</v>
      </c>
      <c r="R75" s="161">
        <f t="shared" si="132"/>
        <v>15130</v>
      </c>
      <c r="S75" s="161">
        <f t="shared" ref="S75" si="140">O75-8080</f>
        <v>5131</v>
      </c>
      <c r="T75" s="168" t="s">
        <v>533</v>
      </c>
      <c r="U75" s="72" t="str">
        <f t="shared" si="127"/>
        <v>T-VMS1-O-A11</v>
      </c>
      <c r="V75" s="72">
        <f t="shared" si="128"/>
        <v>2048</v>
      </c>
      <c r="W75" s="72">
        <f t="shared" si="129"/>
        <v>768</v>
      </c>
      <c r="X75" s="72">
        <f t="shared" si="116"/>
        <v>768</v>
      </c>
      <c r="Y75" s="72">
        <f t="shared" si="130"/>
        <v>512</v>
      </c>
      <c r="Z75" s="72">
        <f t="shared" si="117"/>
        <v>512</v>
      </c>
      <c r="AA75" s="15" t="s">
        <v>215</v>
      </c>
      <c r="AB75" s="72" t="str">
        <f t="shared" si="133"/>
        <v>/vms/vms1/wasApp</v>
      </c>
      <c r="AC75" s="72" t="str">
        <f t="shared" si="131"/>
        <v>/log/jboss7/T-VMS1-O/T-VMS1-O-F11</v>
      </c>
      <c r="AD75" s="72"/>
      <c r="AE75" s="72"/>
      <c r="AF75" s="72"/>
      <c r="AG75" s="72"/>
    </row>
    <row r="76" spans="1:33" s="66" customFormat="1" ht="6" customHeight="1">
      <c r="A76" s="43" t="s">
        <v>139</v>
      </c>
      <c r="B76" s="44"/>
      <c r="C76" s="44"/>
      <c r="D76" s="68"/>
      <c r="E76" s="68"/>
      <c r="F76" s="68"/>
      <c r="G76" s="68"/>
      <c r="H76" s="68"/>
      <c r="I76" s="68"/>
      <c r="J76" s="44"/>
      <c r="K76" s="44"/>
      <c r="L76" s="68"/>
      <c r="M76" s="74" t="e">
        <f>IF(J76="S",9, "8")&amp;VLOOKUP(G76,'WAS Domain'!$E$11:$I$25,3,0)&amp;VLOOKUP(G76,'WAS Domain'!$E$11:$I$25,4,0)&amp;VLOOKUP(G76,'WAS Domain'!$E$11:$I$25,5,0)</f>
        <v>#N/A</v>
      </c>
      <c r="N76" s="74" t="e">
        <f>IF(K76="S",9, "8")&amp;VLOOKUP(H76,'WAS Domain'!$E$11:$I$25,3,0)&amp;VLOOKUP(H76,'WAS Domain'!$E$11:$I$25,4,0)&amp;VLOOKUP(H76,'WAS Domain'!$E$11:$I$25,5,0)</f>
        <v>#N/A</v>
      </c>
      <c r="O76" s="68"/>
      <c r="P76" s="99"/>
      <c r="Q76" s="99"/>
      <c r="R76" s="99"/>
      <c r="S76" s="99"/>
      <c r="T76" s="68"/>
      <c r="U76" s="68"/>
      <c r="V76" s="68"/>
      <c r="W76" s="68"/>
      <c r="X76" s="68"/>
      <c r="Y76" s="68"/>
      <c r="Z76" s="68"/>
      <c r="AA76" s="68"/>
      <c r="AB76" s="72" t="str">
        <f t="shared" si="133"/>
        <v>///wasApp</v>
      </c>
      <c r="AC76" s="68"/>
      <c r="AD76" s="68"/>
      <c r="AE76" s="68"/>
      <c r="AF76" s="68"/>
      <c r="AG76" s="68"/>
    </row>
    <row r="77" spans="1:33" s="66" customFormat="1" ht="16.5" customHeight="1">
      <c r="A77" s="8" t="s">
        <v>561</v>
      </c>
      <c r="B77" s="8" t="s">
        <v>679</v>
      </c>
      <c r="C77" s="8">
        <v>1</v>
      </c>
      <c r="D77" s="67" t="s">
        <v>494</v>
      </c>
      <c r="E77" s="67" t="str">
        <f t="shared" ref="E77:E86" si="141">CONCATENATE(A77,"sfb","ap0",C77)</f>
        <v>dsfbap01</v>
      </c>
      <c r="F77" s="9" t="s">
        <v>687</v>
      </c>
      <c r="G77" s="39" t="str">
        <f>VLOOKUP(F77,'Domain별 코드 체계'!$B$5:$J$29,7,0)</f>
        <v>SV11</v>
      </c>
      <c r="H77" s="67" t="s">
        <v>5</v>
      </c>
      <c r="I77" s="8" t="str">
        <f>CONCATENATE(UPPER(IF(A77="d","D",A77)),"-",G77,"-",H77)</f>
        <v>D-SV11-O</v>
      </c>
      <c r="J77" s="8" t="s">
        <v>291</v>
      </c>
      <c r="K77" s="81">
        <v>1</v>
      </c>
      <c r="L77" s="72" t="str">
        <f t="shared" ref="L77:L86" si="142">CONCATENATE(I77,"-",J77,C77,K77)</f>
        <v>D-SV11-O-F11</v>
      </c>
      <c r="M77" s="74" t="str">
        <f>IF(J77="S",9, "8")&amp;VLOOKUP(G77,'WAS Domain'!$E$11:$I$25,3,0)&amp;VLOOKUP(G77,'WAS Domain'!$E$11:$I$25,4,0)&amp;VLOOKUP(G77,'WAS Domain'!$E$11:$I$25,5,0)</f>
        <v>8111</v>
      </c>
      <c r="N77" s="74">
        <f t="shared" ref="N77:N86" si="143">M77+443</f>
        <v>8554</v>
      </c>
      <c r="O77" s="74" t="str">
        <f>VLOOKUP(G77,'WAS Domain'!$E$11:$I$25,2,0)&amp;VLOOKUP(G77,'WAS Domain'!$E$11:$I$25,3,0)&amp;VLOOKUP(G77,'WAS Domain'!$E$11:$I$25,4,0)&amp;VLOOKUP(G77,'WAS Domain'!$E$11:$I$25,5,0)&amp;IF(J77="A",0,IF(J77="F",K77,IF(LEFT(G77,3)="FWM",K77,9)))</f>
        <v>11111</v>
      </c>
      <c r="P77" s="73">
        <f t="shared" si="105"/>
        <v>11040</v>
      </c>
      <c r="Q77" s="73">
        <f t="shared" si="106"/>
        <v>13021</v>
      </c>
      <c r="R77" s="73">
        <f t="shared" si="132"/>
        <v>13030</v>
      </c>
      <c r="S77" s="73">
        <f t="shared" si="107"/>
        <v>3031</v>
      </c>
      <c r="T77" s="72" t="s">
        <v>495</v>
      </c>
      <c r="U77" s="72" t="str">
        <f t="shared" ref="U77:U86" si="144">IF(J77="A","",CONCATENATE(I77,"-A11"))</f>
        <v>D-SV11-O-A11</v>
      </c>
      <c r="V77" s="72">
        <f t="shared" ref="V77:V86" si="145">IF(J77="A",512,IF(J77="F",2048,IF(J77="S",1024)))</f>
        <v>2048</v>
      </c>
      <c r="W77" s="72">
        <f t="shared" ref="W77:W86" si="146">IF(J77="A","",IF(J77="F",(V77/16)*6,IF(J77="S",V77/4)))</f>
        <v>768</v>
      </c>
      <c r="X77" s="72">
        <f t="shared" ref="X77:X86" si="147">W77</f>
        <v>768</v>
      </c>
      <c r="Y77" s="72">
        <f t="shared" ref="Y77:Y86" si="148">IF(J77="A","",IF(J77="F",(V77/16)*4,IF(J77="S",V77/4)))</f>
        <v>512</v>
      </c>
      <c r="Z77" s="72">
        <f t="shared" ref="Z77:Z86" si="149">Y77</f>
        <v>512</v>
      </c>
      <c r="AA77" s="81" t="s">
        <v>215</v>
      </c>
      <c r="AB77" s="72" t="str">
        <f t="shared" si="133"/>
        <v>/sv1/sv11/wasApp</v>
      </c>
      <c r="AC77" s="72" t="str">
        <f>CONCATENATE("/log/jboss7/",I77,"/",L77)</f>
        <v>/log/jboss7/D-SV11-O/D-SV11-O-F11</v>
      </c>
      <c r="AD77" s="81"/>
      <c r="AE77" s="16"/>
      <c r="AF77" s="16"/>
      <c r="AG77" s="72"/>
    </row>
    <row r="78" spans="1:33" s="66" customFormat="1" ht="16.5" customHeight="1">
      <c r="A78" s="8" t="s">
        <v>561</v>
      </c>
      <c r="B78" s="8" t="s">
        <v>679</v>
      </c>
      <c r="C78" s="8">
        <v>1</v>
      </c>
      <c r="D78" s="67" t="s">
        <v>494</v>
      </c>
      <c r="E78" s="67" t="str">
        <f t="shared" si="141"/>
        <v>dsfbap01</v>
      </c>
      <c r="F78" s="9" t="s">
        <v>687</v>
      </c>
      <c r="G78" s="39" t="str">
        <f>VLOOKUP(F78,'Domain별 코드 체계'!$B$5:$J$29,7,0)</f>
        <v>SV11</v>
      </c>
      <c r="H78" s="67" t="s">
        <v>5</v>
      </c>
      <c r="I78" s="8" t="str">
        <f t="shared" ref="I78:I86" si="150">CONCATENATE(UPPER(IF(A78="d","D",A78)),"-",G78,"-",H78)</f>
        <v>D-SV11-O</v>
      </c>
      <c r="J78" s="8" t="s">
        <v>291</v>
      </c>
      <c r="K78" s="81">
        <v>2</v>
      </c>
      <c r="L78" s="72" t="str">
        <f t="shared" si="142"/>
        <v>D-SV11-O-F12</v>
      </c>
      <c r="M78" s="152" t="str">
        <f>IF(J78="S",9, "8")&amp;VLOOKUP(G78,'WAS Domain'!$E$11:$I$25,3,0)&amp;VLOOKUP(G78,'WAS Domain'!$E$11:$I$25,4,0)&amp;VLOOKUP(G78,'WAS Domain'!$E$11:$I$25,5,0)</f>
        <v>8111</v>
      </c>
      <c r="N78" s="74">
        <f t="shared" si="143"/>
        <v>8554</v>
      </c>
      <c r="O78" s="74" t="str">
        <f>VLOOKUP(G78,'WAS Domain'!$E$11:$I$25,2,0)&amp;VLOOKUP(G78,'WAS Domain'!$E$11:$I$25,3,0)&amp;VLOOKUP(G78,'WAS Domain'!$E$11:$I$25,4,0)&amp;VLOOKUP(G78,'WAS Domain'!$E$11:$I$25,5,0)&amp;IF(J78="A",0,IF(J78="F",K78,IF(LEFT(G78,3)="FWM",K78,9)))</f>
        <v>11112</v>
      </c>
      <c r="P78" s="73">
        <f t="shared" si="105"/>
        <v>11041</v>
      </c>
      <c r="Q78" s="73">
        <f t="shared" si="106"/>
        <v>13022</v>
      </c>
      <c r="R78" s="73">
        <f t="shared" si="132"/>
        <v>13031</v>
      </c>
      <c r="S78" s="73">
        <f t="shared" si="107"/>
        <v>3032</v>
      </c>
      <c r="T78" s="72" t="s">
        <v>495</v>
      </c>
      <c r="U78" s="72" t="str">
        <f t="shared" si="144"/>
        <v>D-SV11-O-A11</v>
      </c>
      <c r="V78" s="72">
        <f t="shared" si="145"/>
        <v>2048</v>
      </c>
      <c r="W78" s="72">
        <f t="shared" si="146"/>
        <v>768</v>
      </c>
      <c r="X78" s="72">
        <f t="shared" si="147"/>
        <v>768</v>
      </c>
      <c r="Y78" s="72">
        <f t="shared" si="148"/>
        <v>512</v>
      </c>
      <c r="Z78" s="72">
        <f t="shared" si="149"/>
        <v>512</v>
      </c>
      <c r="AA78" s="81" t="s">
        <v>215</v>
      </c>
      <c r="AB78" s="72" t="str">
        <f t="shared" si="133"/>
        <v>/sv1/sv11/wasApp</v>
      </c>
      <c r="AC78" s="72" t="str">
        <f t="shared" ref="AC78:AC81" si="151">CONCATENATE("/log/jboss7/",I78,"/",L78)</f>
        <v>/log/jboss7/D-SV11-O/D-SV11-O-F12</v>
      </c>
      <c r="AD78" s="81"/>
      <c r="AE78" s="16"/>
      <c r="AF78" s="16"/>
      <c r="AG78" s="72"/>
    </row>
    <row r="79" spans="1:33" s="66" customFormat="1" ht="16.5" customHeight="1">
      <c r="A79" s="8" t="s">
        <v>561</v>
      </c>
      <c r="B79" s="8" t="s">
        <v>679</v>
      </c>
      <c r="C79" s="8">
        <v>1</v>
      </c>
      <c r="D79" s="67" t="s">
        <v>494</v>
      </c>
      <c r="E79" s="67" t="str">
        <f t="shared" si="141"/>
        <v>dsfbap01</v>
      </c>
      <c r="F79" s="9" t="s">
        <v>684</v>
      </c>
      <c r="G79" s="39" t="str">
        <f>VLOOKUP(F79,'Domain별 코드 체계'!$B$5:$J$29,7,0)</f>
        <v>SV12</v>
      </c>
      <c r="H79" s="67" t="s">
        <v>5</v>
      </c>
      <c r="I79" s="8" t="str">
        <f t="shared" si="150"/>
        <v>D-SV12-O</v>
      </c>
      <c r="J79" s="8" t="s">
        <v>662</v>
      </c>
      <c r="K79" s="81">
        <v>1</v>
      </c>
      <c r="L79" s="72" t="str">
        <f t="shared" si="142"/>
        <v>D-SV12-O-S11</v>
      </c>
      <c r="M79" s="74" t="str">
        <f>IF(J79="S",9, "8")&amp;VLOOKUP(G79,'WAS Domain'!$E$11:$I$25,3,0)&amp;VLOOKUP(G79,'WAS Domain'!$E$11:$I$25,4,0)&amp;VLOOKUP(G79,'WAS Domain'!$E$11:$I$25,5,0)</f>
        <v>9112</v>
      </c>
      <c r="N79" s="74">
        <f t="shared" si="143"/>
        <v>9555</v>
      </c>
      <c r="O79" s="74" t="str">
        <f>VLOOKUP(G79,'WAS Domain'!$E$11:$I$25,2,0)&amp;VLOOKUP(G79,'WAS Domain'!$E$11:$I$25,3,0)&amp;VLOOKUP(G79,'WAS Domain'!$E$11:$I$25,4,0)&amp;VLOOKUP(G79,'WAS Domain'!$E$11:$I$25,5,0)&amp;IF(J79="A",0,IF(J79="F",K79,IF(LEFT(G79,3)="FWM",K79,9)))</f>
        <v>11129</v>
      </c>
      <c r="P79" s="73">
        <f t="shared" si="105"/>
        <v>11058</v>
      </c>
      <c r="Q79" s="73">
        <f t="shared" si="106"/>
        <v>13039</v>
      </c>
      <c r="R79" s="73">
        <f t="shared" si="132"/>
        <v>13048</v>
      </c>
      <c r="S79" s="73">
        <f t="shared" si="107"/>
        <v>3049</v>
      </c>
      <c r="T79" s="72" t="s">
        <v>497</v>
      </c>
      <c r="U79" s="72" t="str">
        <f t="shared" si="144"/>
        <v>D-SV12-O-A11</v>
      </c>
      <c r="V79" s="72">
        <f t="shared" si="145"/>
        <v>1024</v>
      </c>
      <c r="W79" s="72">
        <f t="shared" si="146"/>
        <v>256</v>
      </c>
      <c r="X79" s="72">
        <f t="shared" si="147"/>
        <v>256</v>
      </c>
      <c r="Y79" s="72">
        <f t="shared" si="148"/>
        <v>256</v>
      </c>
      <c r="Z79" s="72">
        <f t="shared" si="149"/>
        <v>256</v>
      </c>
      <c r="AA79" s="81" t="s">
        <v>215</v>
      </c>
      <c r="AB79" s="72" t="str">
        <f t="shared" si="133"/>
        <v>/sv1/sv12/wasAdminApp</v>
      </c>
      <c r="AC79" s="72" t="str">
        <f t="shared" si="151"/>
        <v>/log/jboss7/D-SV12-O/D-SV12-O-S11</v>
      </c>
      <c r="AD79" s="81"/>
      <c r="AE79" s="16"/>
      <c r="AF79" s="16"/>
      <c r="AG79" s="72"/>
    </row>
    <row r="80" spans="1:33" s="66" customFormat="1" ht="16.5" customHeight="1">
      <c r="A80" s="8" t="s">
        <v>561</v>
      </c>
      <c r="B80" s="8" t="s">
        <v>679</v>
      </c>
      <c r="C80" s="8">
        <v>1</v>
      </c>
      <c r="D80" s="67" t="s">
        <v>494</v>
      </c>
      <c r="E80" s="67" t="str">
        <f t="shared" si="141"/>
        <v>dsfbap01</v>
      </c>
      <c r="F80" s="9" t="s">
        <v>689</v>
      </c>
      <c r="G80" s="39" t="str">
        <f>VLOOKUP(F80,'Domain별 코드 체계'!$B$5:$J$29,7,0)</f>
        <v>SV13</v>
      </c>
      <c r="H80" s="67" t="s">
        <v>5</v>
      </c>
      <c r="I80" s="8" t="str">
        <f t="shared" si="150"/>
        <v>D-SV13-O</v>
      </c>
      <c r="J80" s="8" t="s">
        <v>664</v>
      </c>
      <c r="K80" s="81">
        <v>1</v>
      </c>
      <c r="L80" s="72" t="str">
        <f t="shared" si="142"/>
        <v>D-SV13-O-F11</v>
      </c>
      <c r="M80" s="74" t="str">
        <f>IF(J80="S",9, "8")&amp;VLOOKUP(G80,'WAS Domain'!$E$11:$I$25,3,0)&amp;VLOOKUP(G80,'WAS Domain'!$E$11:$I$25,4,0)&amp;VLOOKUP(G80,'WAS Domain'!$E$11:$I$25,5,0)</f>
        <v>8113</v>
      </c>
      <c r="N80" s="74">
        <f t="shared" si="143"/>
        <v>8556</v>
      </c>
      <c r="O80" s="74" t="str">
        <f>VLOOKUP(G80,'WAS Domain'!$E$11:$I$25,2,0)&amp;VLOOKUP(G80,'WAS Domain'!$E$11:$I$25,3,0)&amp;VLOOKUP(G80,'WAS Domain'!$E$11:$I$25,4,0)&amp;VLOOKUP(G80,'WAS Domain'!$E$11:$I$25,5,0)&amp;IF(J80="A",0,IF(J80="F",K80,IF(LEFT(G80,3)="FWM",K80,9)))</f>
        <v>11131</v>
      </c>
      <c r="P80" s="73">
        <f t="shared" si="105"/>
        <v>11060</v>
      </c>
      <c r="Q80" s="73">
        <f t="shared" si="106"/>
        <v>13041</v>
      </c>
      <c r="R80" s="73">
        <f t="shared" si="132"/>
        <v>13050</v>
      </c>
      <c r="S80" s="73">
        <f t="shared" si="107"/>
        <v>3051</v>
      </c>
      <c r="T80" s="72" t="s">
        <v>498</v>
      </c>
      <c r="U80" s="72" t="str">
        <f t="shared" si="144"/>
        <v>D-SV13-O-A11</v>
      </c>
      <c r="V80" s="72">
        <f t="shared" si="145"/>
        <v>2048</v>
      </c>
      <c r="W80" s="72">
        <f t="shared" si="146"/>
        <v>768</v>
      </c>
      <c r="X80" s="72">
        <f t="shared" si="147"/>
        <v>768</v>
      </c>
      <c r="Y80" s="72">
        <f t="shared" si="148"/>
        <v>512</v>
      </c>
      <c r="Z80" s="72">
        <f t="shared" si="149"/>
        <v>512</v>
      </c>
      <c r="AA80" s="81" t="s">
        <v>192</v>
      </c>
      <c r="AB80" s="72" t="str">
        <f t="shared" si="133"/>
        <v>/sv1/sv13/wasApp</v>
      </c>
      <c r="AC80" s="72" t="str">
        <f t="shared" si="151"/>
        <v>/log/jboss7/D-SV13-O/D-SV13-O-F11</v>
      </c>
      <c r="AD80" s="81"/>
      <c r="AE80" s="16"/>
      <c r="AF80" s="16"/>
      <c r="AG80" s="72"/>
    </row>
    <row r="81" spans="1:33" s="66" customFormat="1" ht="16.5" customHeight="1" thickBot="1">
      <c r="A81" s="8" t="s">
        <v>561</v>
      </c>
      <c r="B81" s="91" t="s">
        <v>679</v>
      </c>
      <c r="C81" s="91">
        <v>1</v>
      </c>
      <c r="D81" s="92" t="s">
        <v>494</v>
      </c>
      <c r="E81" s="92" t="str">
        <f t="shared" si="141"/>
        <v>dsfbap01</v>
      </c>
      <c r="F81" s="89" t="s">
        <v>692</v>
      </c>
      <c r="G81" s="93" t="str">
        <f>VLOOKUP(F81,'Domain별 코드 체계'!$B$5:$J$29,7,0)</f>
        <v>SV14</v>
      </c>
      <c r="H81" s="92" t="s">
        <v>660</v>
      </c>
      <c r="I81" s="8" t="str">
        <f t="shared" si="150"/>
        <v>D-SV14-O</v>
      </c>
      <c r="J81" s="91" t="s">
        <v>524</v>
      </c>
      <c r="K81" s="94">
        <v>1</v>
      </c>
      <c r="L81" s="95" t="str">
        <f t="shared" si="142"/>
        <v>D-SV14-O-S11</v>
      </c>
      <c r="M81" s="131" t="str">
        <f>IF(J81="S",9, "8")&amp;VLOOKUP(G81,'WAS Domain'!$E$11:$I$25,3,0)&amp;VLOOKUP(G81,'WAS Domain'!$E$11:$I$25,4,0)&amp;VLOOKUP(G81,'WAS Domain'!$E$11:$I$25,5,0)</f>
        <v>9114</v>
      </c>
      <c r="N81" s="131">
        <f t="shared" si="143"/>
        <v>9557</v>
      </c>
      <c r="O81" s="131" t="str">
        <f>VLOOKUP(G81,'WAS Domain'!$E$11:$I$25,2,0)&amp;VLOOKUP(G81,'WAS Domain'!$E$11:$I$25,3,0)&amp;VLOOKUP(G81,'WAS Domain'!$E$11:$I$25,4,0)&amp;VLOOKUP(G81,'WAS Domain'!$E$11:$I$25,5,0)&amp;IF(J81="A",0,IF(J81="F",K81,IF(LEFT(G81,3)="FWM",K81,9)))</f>
        <v>11149</v>
      </c>
      <c r="P81" s="123">
        <f t="shared" si="105"/>
        <v>11078</v>
      </c>
      <c r="Q81" s="123">
        <f t="shared" si="106"/>
        <v>13059</v>
      </c>
      <c r="R81" s="123">
        <f t="shared" si="132"/>
        <v>13068</v>
      </c>
      <c r="S81" s="123">
        <f t="shared" si="107"/>
        <v>3069</v>
      </c>
      <c r="T81" s="95" t="s">
        <v>499</v>
      </c>
      <c r="U81" s="95" t="str">
        <f t="shared" si="144"/>
        <v>D-SV14-O-A11</v>
      </c>
      <c r="V81" s="95">
        <f t="shared" si="145"/>
        <v>1024</v>
      </c>
      <c r="W81" s="95">
        <f t="shared" si="146"/>
        <v>256</v>
      </c>
      <c r="X81" s="95">
        <f t="shared" si="147"/>
        <v>256</v>
      </c>
      <c r="Y81" s="95">
        <f t="shared" si="148"/>
        <v>256</v>
      </c>
      <c r="Z81" s="95">
        <f t="shared" si="149"/>
        <v>256</v>
      </c>
      <c r="AA81" s="94" t="s">
        <v>215</v>
      </c>
      <c r="AB81" s="72" t="str">
        <f t="shared" si="133"/>
        <v>/sv1/sv14/wasAdminApp</v>
      </c>
      <c r="AC81" s="95" t="str">
        <f t="shared" si="151"/>
        <v>/log/jboss7/D-SV14-O/D-SV14-O-S11</v>
      </c>
      <c r="AD81" s="94"/>
      <c r="AE81" s="97"/>
      <c r="AF81" s="97"/>
      <c r="AG81" s="95"/>
    </row>
    <row r="82" spans="1:33" s="66" customFormat="1" ht="16.5" customHeight="1">
      <c r="A82" s="8" t="s">
        <v>561</v>
      </c>
      <c r="B82" s="105" t="s">
        <v>679</v>
      </c>
      <c r="C82" s="105">
        <v>2</v>
      </c>
      <c r="D82" s="106" t="s">
        <v>502</v>
      </c>
      <c r="E82" s="106" t="str">
        <f t="shared" si="141"/>
        <v>dsfbap02</v>
      </c>
      <c r="F82" s="107" t="s">
        <v>687</v>
      </c>
      <c r="G82" s="108" t="str">
        <f>VLOOKUP(F82,'Domain별 코드 체계'!$B$5:$J$29,7,0)</f>
        <v>SV11</v>
      </c>
      <c r="H82" s="106" t="s">
        <v>5</v>
      </c>
      <c r="I82" s="8" t="str">
        <f t="shared" si="150"/>
        <v>D-SV11-O</v>
      </c>
      <c r="J82" s="105" t="s">
        <v>291</v>
      </c>
      <c r="K82" s="109">
        <v>1</v>
      </c>
      <c r="L82" s="110" t="str">
        <f t="shared" si="142"/>
        <v>D-SV11-O-F21</v>
      </c>
      <c r="M82" s="74" t="str">
        <f>IF(J82="S",9, "8")&amp;VLOOKUP(G82,'WAS Domain'!$E$11:$I$25,3,0)&amp;VLOOKUP(G82,'WAS Domain'!$E$11:$I$25,4,0)&amp;VLOOKUP(G82,'WAS Domain'!$E$11:$I$25,5,0)</f>
        <v>8111</v>
      </c>
      <c r="N82" s="74">
        <f t="shared" si="143"/>
        <v>8554</v>
      </c>
      <c r="O82" s="150" t="str">
        <f>VLOOKUP(G82,'WAS Domain'!$E$11:$I$25,2,0)&amp;VLOOKUP(G82,'WAS Domain'!$E$11:$I$25,3,0)&amp;VLOOKUP(G82,'WAS Domain'!$E$11:$I$25,4,0)&amp;VLOOKUP(G82,'WAS Domain'!$E$11:$I$25,5,0)&amp;IF(J82="A",0,IF(J82="F",K82,IF(LEFT(G82,3)="FWM",K82,9)))</f>
        <v>11111</v>
      </c>
      <c r="P82" s="148">
        <f t="shared" si="105"/>
        <v>11040</v>
      </c>
      <c r="Q82" s="148">
        <f t="shared" si="106"/>
        <v>13021</v>
      </c>
      <c r="R82" s="148">
        <f t="shared" si="132"/>
        <v>13030</v>
      </c>
      <c r="S82" s="148">
        <f t="shared" si="107"/>
        <v>3031</v>
      </c>
      <c r="T82" s="110" t="s">
        <v>495</v>
      </c>
      <c r="U82" s="110" t="str">
        <f t="shared" si="144"/>
        <v>D-SV11-O-A11</v>
      </c>
      <c r="V82" s="110">
        <f t="shared" si="145"/>
        <v>2048</v>
      </c>
      <c r="W82" s="110">
        <f t="shared" si="146"/>
        <v>768</v>
      </c>
      <c r="X82" s="110">
        <f t="shared" si="147"/>
        <v>768</v>
      </c>
      <c r="Y82" s="110">
        <f t="shared" si="148"/>
        <v>512</v>
      </c>
      <c r="Z82" s="110">
        <f t="shared" si="149"/>
        <v>512</v>
      </c>
      <c r="AA82" s="109" t="s">
        <v>215</v>
      </c>
      <c r="AB82" s="72" t="str">
        <f t="shared" si="133"/>
        <v>/sv1/sv11/wasApp</v>
      </c>
      <c r="AC82" s="110" t="str">
        <f>CONCATENATE("/log/jboss7/",I82,"/",L82)</f>
        <v>/log/jboss7/D-SV11-O/D-SV11-O-F21</v>
      </c>
      <c r="AD82" s="109"/>
      <c r="AE82" s="112"/>
      <c r="AF82" s="112"/>
      <c r="AG82" s="113"/>
    </row>
    <row r="83" spans="1:33" s="66" customFormat="1" ht="16.5" customHeight="1">
      <c r="A83" s="8" t="s">
        <v>561</v>
      </c>
      <c r="B83" s="8" t="s">
        <v>680</v>
      </c>
      <c r="C83" s="8">
        <v>2</v>
      </c>
      <c r="D83" s="67" t="s">
        <v>502</v>
      </c>
      <c r="E83" s="67" t="str">
        <f t="shared" si="141"/>
        <v>dsfbap02</v>
      </c>
      <c r="F83" s="9" t="s">
        <v>687</v>
      </c>
      <c r="G83" s="39" t="str">
        <f>VLOOKUP(F83,'Domain별 코드 체계'!$B$5:$J$29,7,0)</f>
        <v>SV11</v>
      </c>
      <c r="H83" s="67" t="s">
        <v>5</v>
      </c>
      <c r="I83" s="8" t="str">
        <f t="shared" si="150"/>
        <v>D-SV11-O</v>
      </c>
      <c r="J83" s="8" t="s">
        <v>291</v>
      </c>
      <c r="K83" s="81">
        <v>2</v>
      </c>
      <c r="L83" s="72" t="str">
        <f t="shared" si="142"/>
        <v>D-SV11-O-F22</v>
      </c>
      <c r="M83" s="152" t="str">
        <f>IF(J83="S",9, "8")&amp;VLOOKUP(G83,'WAS Domain'!$E$11:$I$25,3,0)&amp;VLOOKUP(G83,'WAS Domain'!$E$11:$I$25,4,0)&amp;VLOOKUP(G83,'WAS Domain'!$E$11:$I$25,5,0)</f>
        <v>8111</v>
      </c>
      <c r="N83" s="74">
        <f t="shared" si="143"/>
        <v>8554</v>
      </c>
      <c r="O83" s="74" t="str">
        <f>VLOOKUP(G83,'WAS Domain'!$E$11:$I$25,2,0)&amp;VLOOKUP(G83,'WAS Domain'!$E$11:$I$25,3,0)&amp;VLOOKUP(G83,'WAS Domain'!$E$11:$I$25,4,0)&amp;VLOOKUP(G83,'WAS Domain'!$E$11:$I$25,5,0)&amp;IF(J83="A",0,IF(J83="F",K83,IF(LEFT(G83,3)="FWM",K83,9)))</f>
        <v>11112</v>
      </c>
      <c r="P83" s="73">
        <f t="shared" si="105"/>
        <v>11041</v>
      </c>
      <c r="Q83" s="73">
        <f t="shared" si="106"/>
        <v>13022</v>
      </c>
      <c r="R83" s="73">
        <f t="shared" si="132"/>
        <v>13031</v>
      </c>
      <c r="S83" s="73">
        <f t="shared" si="107"/>
        <v>3032</v>
      </c>
      <c r="T83" s="72" t="s">
        <v>495</v>
      </c>
      <c r="U83" s="72" t="str">
        <f t="shared" si="144"/>
        <v>D-SV11-O-A11</v>
      </c>
      <c r="V83" s="72">
        <f t="shared" si="145"/>
        <v>2048</v>
      </c>
      <c r="W83" s="72">
        <f t="shared" si="146"/>
        <v>768</v>
      </c>
      <c r="X83" s="72">
        <f t="shared" si="147"/>
        <v>768</v>
      </c>
      <c r="Y83" s="72">
        <f t="shared" si="148"/>
        <v>512</v>
      </c>
      <c r="Z83" s="72">
        <f t="shared" si="149"/>
        <v>512</v>
      </c>
      <c r="AA83" s="81" t="s">
        <v>215</v>
      </c>
      <c r="AB83" s="72" t="str">
        <f t="shared" si="133"/>
        <v>/sv1/sv11/wasApp</v>
      </c>
      <c r="AC83" s="72" t="str">
        <f t="shared" ref="AC83:AC86" si="152">CONCATENATE("/log/jboss7/",I83,"/",L83)</f>
        <v>/log/jboss7/D-SV11-O/D-SV11-O-F22</v>
      </c>
      <c r="AD83" s="81"/>
      <c r="AE83" s="16"/>
      <c r="AF83" s="16"/>
      <c r="AG83" s="115"/>
    </row>
    <row r="84" spans="1:33" s="66" customFormat="1" ht="16.5" customHeight="1">
      <c r="A84" s="8" t="s">
        <v>561</v>
      </c>
      <c r="B84" s="8" t="s">
        <v>681</v>
      </c>
      <c r="C84" s="8">
        <v>2</v>
      </c>
      <c r="D84" s="67" t="s">
        <v>502</v>
      </c>
      <c r="E84" s="67" t="str">
        <f t="shared" si="141"/>
        <v>dsfbap02</v>
      </c>
      <c r="F84" s="9" t="s">
        <v>684</v>
      </c>
      <c r="G84" s="39" t="str">
        <f>VLOOKUP(F84,'Domain별 코드 체계'!$B$5:$J$29,7,0)</f>
        <v>SV12</v>
      </c>
      <c r="H84" s="67" t="s">
        <v>5</v>
      </c>
      <c r="I84" s="8" t="str">
        <f t="shared" si="150"/>
        <v>D-SV12-O</v>
      </c>
      <c r="J84" s="8" t="s">
        <v>662</v>
      </c>
      <c r="K84" s="81">
        <v>1</v>
      </c>
      <c r="L84" s="72" t="str">
        <f t="shared" si="142"/>
        <v>D-SV12-O-S21</v>
      </c>
      <c r="M84" s="74" t="str">
        <f>IF(J84="S",9, "8")&amp;VLOOKUP(G84,'WAS Domain'!$E$11:$I$25,3,0)&amp;VLOOKUP(G84,'WAS Domain'!$E$11:$I$25,4,0)&amp;VLOOKUP(G84,'WAS Domain'!$E$11:$I$25,5,0)</f>
        <v>9112</v>
      </c>
      <c r="N84" s="74">
        <f t="shared" si="143"/>
        <v>9555</v>
      </c>
      <c r="O84" s="74" t="str">
        <f>VLOOKUP(G84,'WAS Domain'!$E$11:$I$25,2,0)&amp;VLOOKUP(G84,'WAS Domain'!$E$11:$I$25,3,0)&amp;VLOOKUP(G84,'WAS Domain'!$E$11:$I$25,4,0)&amp;VLOOKUP(G84,'WAS Domain'!$E$11:$I$25,5,0)&amp;IF(J84="A",0,IF(J84="F",K84,IF(LEFT(G84,3)="FWM",K84,9)))</f>
        <v>11129</v>
      </c>
      <c r="P84" s="73">
        <f t="shared" si="105"/>
        <v>11058</v>
      </c>
      <c r="Q84" s="73">
        <f t="shared" si="106"/>
        <v>13039</v>
      </c>
      <c r="R84" s="73">
        <f t="shared" si="132"/>
        <v>13048</v>
      </c>
      <c r="S84" s="73">
        <f t="shared" si="107"/>
        <v>3049</v>
      </c>
      <c r="T84" s="72" t="s">
        <v>497</v>
      </c>
      <c r="U84" s="72" t="str">
        <f t="shared" si="144"/>
        <v>D-SV12-O-A11</v>
      </c>
      <c r="V84" s="72">
        <f t="shared" si="145"/>
        <v>1024</v>
      </c>
      <c r="W84" s="72">
        <f t="shared" si="146"/>
        <v>256</v>
      </c>
      <c r="X84" s="72">
        <f t="shared" si="147"/>
        <v>256</v>
      </c>
      <c r="Y84" s="72">
        <f t="shared" si="148"/>
        <v>256</v>
      </c>
      <c r="Z84" s="72">
        <f t="shared" si="149"/>
        <v>256</v>
      </c>
      <c r="AA84" s="81" t="s">
        <v>215</v>
      </c>
      <c r="AB84" s="72" t="str">
        <f t="shared" si="133"/>
        <v>/sv1/sv12/wasAdminApp</v>
      </c>
      <c r="AC84" s="72" t="str">
        <f t="shared" si="152"/>
        <v>/log/jboss7/D-SV12-O/D-SV12-O-S21</v>
      </c>
      <c r="AD84" s="81"/>
      <c r="AE84" s="16"/>
      <c r="AF84" s="16"/>
      <c r="AG84" s="115"/>
    </row>
    <row r="85" spans="1:33" s="66" customFormat="1" ht="16.5" customHeight="1">
      <c r="A85" s="8" t="s">
        <v>561</v>
      </c>
      <c r="B85" s="8" t="s">
        <v>682</v>
      </c>
      <c r="C85" s="8">
        <v>2</v>
      </c>
      <c r="D85" s="67" t="s">
        <v>502</v>
      </c>
      <c r="E85" s="67" t="str">
        <f t="shared" si="141"/>
        <v>dsfbap02</v>
      </c>
      <c r="F85" s="9" t="s">
        <v>689</v>
      </c>
      <c r="G85" s="39" t="str">
        <f>VLOOKUP(F85,'Domain별 코드 체계'!$B$5:$J$29,7,0)</f>
        <v>SV13</v>
      </c>
      <c r="H85" s="67" t="s">
        <v>5</v>
      </c>
      <c r="I85" s="8" t="str">
        <f t="shared" si="150"/>
        <v>D-SV13-O</v>
      </c>
      <c r="J85" s="8" t="s">
        <v>291</v>
      </c>
      <c r="K85" s="81">
        <v>1</v>
      </c>
      <c r="L85" s="72" t="str">
        <f t="shared" si="142"/>
        <v>D-SV13-O-F21</v>
      </c>
      <c r="M85" s="74" t="str">
        <f>IF(J85="S",9, "8")&amp;VLOOKUP(G85,'WAS Domain'!$E$11:$I$25,3,0)&amp;VLOOKUP(G85,'WAS Domain'!$E$11:$I$25,4,0)&amp;VLOOKUP(G85,'WAS Domain'!$E$11:$I$25,5,0)</f>
        <v>8113</v>
      </c>
      <c r="N85" s="74">
        <f t="shared" si="143"/>
        <v>8556</v>
      </c>
      <c r="O85" s="74" t="str">
        <f>VLOOKUP(G85,'WAS Domain'!$E$11:$I$25,2,0)&amp;VLOOKUP(G85,'WAS Domain'!$E$11:$I$25,3,0)&amp;VLOOKUP(G85,'WAS Domain'!$E$11:$I$25,4,0)&amp;VLOOKUP(G85,'WAS Domain'!$E$11:$I$25,5,0)&amp;IF(J85="A",0,IF(J85="F",K85,IF(LEFT(G85,3)="FWM",K85,9)))</f>
        <v>11131</v>
      </c>
      <c r="P85" s="73">
        <f t="shared" si="105"/>
        <v>11060</v>
      </c>
      <c r="Q85" s="73">
        <f t="shared" si="106"/>
        <v>13041</v>
      </c>
      <c r="R85" s="73">
        <f t="shared" si="132"/>
        <v>13050</v>
      </c>
      <c r="S85" s="73">
        <f t="shared" si="107"/>
        <v>3051</v>
      </c>
      <c r="T85" s="72" t="s">
        <v>498</v>
      </c>
      <c r="U85" s="72" t="str">
        <f t="shared" si="144"/>
        <v>D-SV13-O-A11</v>
      </c>
      <c r="V85" s="72">
        <f t="shared" si="145"/>
        <v>2048</v>
      </c>
      <c r="W85" s="72">
        <f t="shared" si="146"/>
        <v>768</v>
      </c>
      <c r="X85" s="72">
        <f t="shared" si="147"/>
        <v>768</v>
      </c>
      <c r="Y85" s="72">
        <f t="shared" si="148"/>
        <v>512</v>
      </c>
      <c r="Z85" s="72">
        <f t="shared" si="149"/>
        <v>512</v>
      </c>
      <c r="AA85" s="81" t="s">
        <v>192</v>
      </c>
      <c r="AB85" s="72" t="str">
        <f t="shared" si="133"/>
        <v>/sv1/sv13/wasApp</v>
      </c>
      <c r="AC85" s="72" t="str">
        <f t="shared" si="152"/>
        <v>/log/jboss7/D-SV13-O/D-SV13-O-F21</v>
      </c>
      <c r="AD85" s="81"/>
      <c r="AE85" s="16"/>
      <c r="AF85" s="16"/>
      <c r="AG85" s="115"/>
    </row>
    <row r="86" spans="1:33" s="66" customFormat="1" ht="16.5" customHeight="1" thickBot="1">
      <c r="A86" s="8" t="s">
        <v>561</v>
      </c>
      <c r="B86" s="117" t="s">
        <v>679</v>
      </c>
      <c r="C86" s="117">
        <v>2</v>
      </c>
      <c r="D86" s="118" t="s">
        <v>502</v>
      </c>
      <c r="E86" s="118" t="str">
        <f t="shared" si="141"/>
        <v>dsfbap02</v>
      </c>
      <c r="F86" s="119" t="s">
        <v>692</v>
      </c>
      <c r="G86" s="120" t="str">
        <f>VLOOKUP(F86,'Domain별 코드 체계'!$B$5:$J$29,7,0)</f>
        <v>SV14</v>
      </c>
      <c r="H86" s="118" t="s">
        <v>660</v>
      </c>
      <c r="I86" s="8" t="str">
        <f t="shared" si="150"/>
        <v>D-SV14-O</v>
      </c>
      <c r="J86" s="117" t="s">
        <v>524</v>
      </c>
      <c r="K86" s="121">
        <v>1</v>
      </c>
      <c r="L86" s="122" t="str">
        <f t="shared" si="142"/>
        <v>D-SV14-O-S21</v>
      </c>
      <c r="M86" s="74" t="str">
        <f>IF(J86="S",9, "8")&amp;VLOOKUP(G86,'WAS Domain'!$E$11:$I$25,3,0)&amp;VLOOKUP(G86,'WAS Domain'!$E$11:$I$25,4,0)&amp;VLOOKUP(G86,'WAS Domain'!$E$11:$I$25,5,0)</f>
        <v>9114</v>
      </c>
      <c r="N86" s="74">
        <f t="shared" si="143"/>
        <v>9557</v>
      </c>
      <c r="O86" s="131" t="str">
        <f>VLOOKUP(G86,'WAS Domain'!$E$11:$I$25,2,0)&amp;VLOOKUP(G86,'WAS Domain'!$E$11:$I$25,3,0)&amp;VLOOKUP(G86,'WAS Domain'!$E$11:$I$25,4,0)&amp;VLOOKUP(G86,'WAS Domain'!$E$11:$I$25,5,0)&amp;IF(J86="A",0,IF(J86="F",K86,IF(LEFT(G86,3)="FWM",K86,9)))</f>
        <v>11149</v>
      </c>
      <c r="P86" s="123">
        <f t="shared" si="105"/>
        <v>11078</v>
      </c>
      <c r="Q86" s="123">
        <f t="shared" si="106"/>
        <v>13059</v>
      </c>
      <c r="R86" s="123">
        <f t="shared" si="132"/>
        <v>13068</v>
      </c>
      <c r="S86" s="123">
        <f t="shared" si="107"/>
        <v>3069</v>
      </c>
      <c r="T86" s="122" t="s">
        <v>499</v>
      </c>
      <c r="U86" s="122" t="str">
        <f t="shared" si="144"/>
        <v>D-SV14-O-A11</v>
      </c>
      <c r="V86" s="122">
        <f t="shared" si="145"/>
        <v>1024</v>
      </c>
      <c r="W86" s="122">
        <f t="shared" si="146"/>
        <v>256</v>
      </c>
      <c r="X86" s="122">
        <f t="shared" si="147"/>
        <v>256</v>
      </c>
      <c r="Y86" s="122">
        <f t="shared" si="148"/>
        <v>256</v>
      </c>
      <c r="Z86" s="122">
        <f t="shared" si="149"/>
        <v>256</v>
      </c>
      <c r="AA86" s="121" t="s">
        <v>215</v>
      </c>
      <c r="AB86" s="72" t="str">
        <f t="shared" si="133"/>
        <v>/sv1/sv14/wasAdminApp</v>
      </c>
      <c r="AC86" s="122" t="str">
        <f t="shared" si="152"/>
        <v>/log/jboss7/D-SV14-O/D-SV14-O-S21</v>
      </c>
      <c r="AD86" s="121"/>
      <c r="AE86" s="124"/>
      <c r="AF86" s="124"/>
      <c r="AG86" s="125"/>
    </row>
    <row r="87" spans="1:33" ht="6" customHeight="1">
      <c r="A87" s="43" t="s">
        <v>139</v>
      </c>
      <c r="B87" s="44"/>
      <c r="C87" s="44"/>
      <c r="D87" s="68"/>
      <c r="E87" s="68"/>
      <c r="F87" s="68"/>
      <c r="G87" s="24"/>
      <c r="H87" s="24"/>
      <c r="I87" s="24"/>
      <c r="J87" s="50"/>
      <c r="K87" s="50"/>
      <c r="L87" s="24"/>
      <c r="M87" s="147"/>
      <c r="N87" s="147"/>
      <c r="O87" s="147"/>
      <c r="P87" s="147"/>
      <c r="Q87" s="147"/>
      <c r="R87" s="147"/>
      <c r="S87" s="147"/>
      <c r="T87" s="24"/>
      <c r="U87" s="24"/>
      <c r="V87" s="24"/>
      <c r="W87" s="24"/>
      <c r="X87" s="24"/>
      <c r="Y87" s="24"/>
      <c r="Z87" s="24"/>
      <c r="AA87" s="24"/>
      <c r="AB87" s="147"/>
      <c r="AC87" s="24"/>
      <c r="AD87" s="24"/>
      <c r="AE87" s="24"/>
      <c r="AF87" s="24"/>
      <c r="AG87" s="24"/>
    </row>
  </sheetData>
  <autoFilter ref="A6:AG87"/>
  <mergeCells count="15">
    <mergeCell ref="A4:A6"/>
    <mergeCell ref="B4:B6"/>
    <mergeCell ref="C4:C6"/>
    <mergeCell ref="D4:D6"/>
    <mergeCell ref="E4:E6"/>
    <mergeCell ref="AG4:AG6"/>
    <mergeCell ref="F5:I5"/>
    <mergeCell ref="J5:U5"/>
    <mergeCell ref="F4:I4"/>
    <mergeCell ref="J4:AC4"/>
    <mergeCell ref="V5:Z5"/>
    <mergeCell ref="AA5:AC5"/>
    <mergeCell ref="AD4:AF4"/>
    <mergeCell ref="AD5:AD6"/>
    <mergeCell ref="AE5:AF5"/>
  </mergeCells>
  <phoneticPr fontId="2" type="noConversion"/>
  <dataValidations count="3">
    <dataValidation type="list" allowBlank="1" showInputMessage="1" showErrorMessage="1" sqref="AA7:AA56 AA77:AA86 AA58:AA75">
      <formula1>"도메인, 인스턴스"</formula1>
    </dataValidation>
    <dataValidation type="list" allowBlank="1" showInputMessage="1" showErrorMessage="1" sqref="AD60 AD65:AD66 AD7:AD56 AD77:AD86">
      <formula1>"운영,통테,-"</formula1>
    </dataValidation>
    <dataValidation type="list" allowBlank="1" showInputMessage="1" showErrorMessage="1" sqref="J58:J75 J77:J86 J7:J56">
      <formula1>"A,F,S"</formula1>
    </dataValidation>
  </dataValidations>
  <pageMargins left="0.7" right="0.7" top="0.75" bottom="0.75" header="0.3" footer="0.3"/>
  <pageSetup paperSize="9" orientation="portrait" verticalDpi="0"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25"/>
  <sheetViews>
    <sheetView topLeftCell="A4" zoomScale="85" zoomScaleNormal="85" workbookViewId="0">
      <pane ySplit="2" topLeftCell="A6" activePane="bottomLeft" state="frozen"/>
      <selection activeCell="A4" sqref="A4"/>
      <selection pane="bottomLeft" activeCell="M16" sqref="M16"/>
    </sheetView>
  </sheetViews>
  <sheetFormatPr defaultRowHeight="16.5"/>
  <cols>
    <col min="1" max="1" width="4.75" bestFit="1" customWidth="1"/>
    <col min="2" max="2" width="6.375" bestFit="1" customWidth="1"/>
    <col min="3" max="3" width="10.25" bestFit="1" customWidth="1"/>
    <col min="4" max="4" width="19.875" bestFit="1" customWidth="1"/>
    <col min="5" max="5" width="8.875" customWidth="1"/>
    <col min="6" max="6" width="11.5" bestFit="1" customWidth="1"/>
    <col min="7" max="7" width="4.75" bestFit="1" customWidth="1"/>
    <col min="8" max="8" width="12.625" bestFit="1" customWidth="1"/>
    <col min="9" max="9" width="30.875" bestFit="1" customWidth="1"/>
    <col min="10" max="10" width="5.875" bestFit="1" customWidth="1"/>
    <col min="11" max="11" width="10.375" customWidth="1"/>
    <col min="12" max="12" width="6.5" style="17" bestFit="1" customWidth="1"/>
    <col min="13" max="13" width="11.75" customWidth="1"/>
    <col min="14" max="14" width="8" bestFit="1" customWidth="1"/>
    <col min="15" max="15" width="11.875" bestFit="1" customWidth="1"/>
    <col min="16" max="16" width="19.875" style="18" bestFit="1" customWidth="1"/>
    <col min="17" max="17" width="46.125" style="18" bestFit="1" customWidth="1"/>
  </cols>
  <sheetData>
    <row r="1" spans="1:17">
      <c r="B1" s="47" t="s">
        <v>258</v>
      </c>
    </row>
    <row r="3" spans="1:17" ht="16.5" customHeight="1">
      <c r="A3" s="221" t="s">
        <v>16</v>
      </c>
      <c r="B3" s="221" t="s">
        <v>17</v>
      </c>
      <c r="C3" s="221" t="s">
        <v>192</v>
      </c>
      <c r="D3" s="221" t="s">
        <v>760</v>
      </c>
      <c r="E3" s="221" t="s">
        <v>19</v>
      </c>
      <c r="F3" s="221"/>
      <c r="G3" s="221"/>
      <c r="H3" s="221"/>
      <c r="I3" s="221"/>
      <c r="J3" s="221"/>
      <c r="K3" s="221"/>
      <c r="L3" s="221"/>
      <c r="M3" s="221"/>
      <c r="N3" s="221"/>
      <c r="O3" s="221"/>
      <c r="P3" s="221"/>
      <c r="Q3" s="221" t="s">
        <v>20</v>
      </c>
    </row>
    <row r="4" spans="1:17" s="11" customFormat="1" ht="16.5" customHeight="1">
      <c r="A4" s="221"/>
      <c r="B4" s="221"/>
      <c r="C4" s="221"/>
      <c r="D4" s="221"/>
      <c r="E4" s="221" t="s">
        <v>21</v>
      </c>
      <c r="F4" s="212" t="s">
        <v>22</v>
      </c>
      <c r="G4" s="213"/>
      <c r="H4" s="213"/>
      <c r="I4" s="213"/>
      <c r="J4" s="213"/>
      <c r="K4" s="213"/>
      <c r="L4" s="213"/>
      <c r="M4" s="213"/>
      <c r="N4" s="215" t="s">
        <v>23</v>
      </c>
      <c r="O4" s="221" t="s">
        <v>24</v>
      </c>
      <c r="P4" s="221" t="s">
        <v>25</v>
      </c>
      <c r="Q4" s="221"/>
    </row>
    <row r="5" spans="1:17" s="11" customFormat="1" ht="27" customHeight="1">
      <c r="A5" s="221"/>
      <c r="B5" s="221"/>
      <c r="C5" s="221"/>
      <c r="D5" s="221"/>
      <c r="E5" s="221"/>
      <c r="F5" s="153" t="s">
        <v>26</v>
      </c>
      <c r="G5" s="153" t="s">
        <v>27</v>
      </c>
      <c r="H5" s="154" t="s">
        <v>28</v>
      </c>
      <c r="I5" s="153" t="s">
        <v>29</v>
      </c>
      <c r="J5" s="153" t="s">
        <v>30</v>
      </c>
      <c r="K5" s="154" t="s">
        <v>31</v>
      </c>
      <c r="L5" s="14" t="s">
        <v>32</v>
      </c>
      <c r="M5" s="154" t="s">
        <v>33</v>
      </c>
      <c r="N5" s="215"/>
      <c r="O5" s="215"/>
      <c r="P5" s="215"/>
      <c r="Q5" s="221"/>
    </row>
    <row r="6" spans="1:17" ht="6" customHeight="1">
      <c r="A6" s="43" t="s">
        <v>139</v>
      </c>
      <c r="B6" s="44"/>
      <c r="C6" s="44"/>
      <c r="D6" s="45"/>
      <c r="E6" s="44"/>
      <c r="F6" s="44"/>
      <c r="G6" s="44"/>
      <c r="H6" s="46"/>
      <c r="I6" s="46"/>
      <c r="J6" s="44"/>
      <c r="K6" s="46"/>
      <c r="L6" s="46"/>
      <c r="M6" s="46"/>
      <c r="N6" s="44"/>
      <c r="O6" s="44"/>
      <c r="P6" s="45"/>
      <c r="Q6" s="45"/>
    </row>
    <row r="7" spans="1:17" s="170" customFormat="1" ht="27">
      <c r="A7" s="37" t="s">
        <v>141</v>
      </c>
      <c r="B7" s="8" t="s">
        <v>694</v>
      </c>
      <c r="C7" s="8" t="s">
        <v>709</v>
      </c>
      <c r="D7" s="129" t="s">
        <v>724</v>
      </c>
      <c r="E7" s="160"/>
      <c r="F7" s="160" t="s">
        <v>765</v>
      </c>
      <c r="G7" s="160"/>
      <c r="H7" s="160" t="s">
        <v>749</v>
      </c>
      <c r="I7" s="160" t="s">
        <v>770</v>
      </c>
      <c r="J7" s="160">
        <v>1577</v>
      </c>
      <c r="K7" s="160" t="s">
        <v>757</v>
      </c>
      <c r="L7" s="160"/>
      <c r="M7" s="160" t="s">
        <v>758</v>
      </c>
      <c r="N7" s="160" t="s">
        <v>34</v>
      </c>
      <c r="O7" s="160" t="s">
        <v>769</v>
      </c>
      <c r="P7" s="178" t="s">
        <v>761</v>
      </c>
      <c r="Q7" s="157" t="s">
        <v>495</v>
      </c>
    </row>
    <row r="8" spans="1:17" s="170" customFormat="1" ht="27">
      <c r="A8" s="37" t="s">
        <v>141</v>
      </c>
      <c r="B8" s="8" t="s">
        <v>695</v>
      </c>
      <c r="C8" s="8" t="s">
        <v>710</v>
      </c>
      <c r="D8" s="129" t="s">
        <v>725</v>
      </c>
      <c r="E8" s="160"/>
      <c r="F8" s="160" t="s">
        <v>766</v>
      </c>
      <c r="G8" s="160"/>
      <c r="H8" s="160" t="s">
        <v>749</v>
      </c>
      <c r="I8" s="160" t="s">
        <v>770</v>
      </c>
      <c r="J8" s="160">
        <v>1577</v>
      </c>
      <c r="K8" s="160" t="s">
        <v>757</v>
      </c>
      <c r="L8" s="160"/>
      <c r="M8" s="160" t="s">
        <v>758</v>
      </c>
      <c r="N8" s="160" t="s">
        <v>34</v>
      </c>
      <c r="O8" s="160" t="s">
        <v>769</v>
      </c>
      <c r="P8" s="178" t="s">
        <v>761</v>
      </c>
      <c r="Q8" s="157" t="s">
        <v>497</v>
      </c>
    </row>
    <row r="9" spans="1:17" s="170" customFormat="1" ht="27">
      <c r="A9" s="37" t="s">
        <v>141</v>
      </c>
      <c r="B9" s="8" t="s">
        <v>696</v>
      </c>
      <c r="C9" s="8" t="s">
        <v>711</v>
      </c>
      <c r="D9" s="129" t="s">
        <v>726</v>
      </c>
      <c r="E9" s="160"/>
      <c r="F9" s="160" t="s">
        <v>765</v>
      </c>
      <c r="G9" s="160"/>
      <c r="H9" s="160" t="s">
        <v>749</v>
      </c>
      <c r="I9" s="160" t="s">
        <v>770</v>
      </c>
      <c r="J9" s="160">
        <v>1577</v>
      </c>
      <c r="K9" s="160" t="s">
        <v>757</v>
      </c>
      <c r="L9" s="160"/>
      <c r="M9" s="160" t="s">
        <v>758</v>
      </c>
      <c r="N9" s="160" t="s">
        <v>34</v>
      </c>
      <c r="O9" s="160" t="s">
        <v>769</v>
      </c>
      <c r="P9" s="178" t="s">
        <v>761</v>
      </c>
      <c r="Q9" s="157" t="s">
        <v>498</v>
      </c>
    </row>
    <row r="10" spans="1:17" s="170" customFormat="1">
      <c r="A10" s="37" t="s">
        <v>141</v>
      </c>
      <c r="B10" s="8" t="s">
        <v>697</v>
      </c>
      <c r="C10" s="8" t="s">
        <v>712</v>
      </c>
      <c r="D10" s="129" t="s">
        <v>727</v>
      </c>
      <c r="E10" s="160"/>
      <c r="F10" s="160" t="s">
        <v>765</v>
      </c>
      <c r="G10" s="160"/>
      <c r="H10" s="160" t="s">
        <v>749</v>
      </c>
      <c r="I10" s="160" t="s">
        <v>770</v>
      </c>
      <c r="J10" s="160">
        <v>1577</v>
      </c>
      <c r="K10" s="160" t="s">
        <v>757</v>
      </c>
      <c r="L10" s="160"/>
      <c r="M10" s="160" t="s">
        <v>758</v>
      </c>
      <c r="N10" s="160" t="s">
        <v>34</v>
      </c>
      <c r="O10" s="160" t="s">
        <v>769</v>
      </c>
      <c r="P10" s="178" t="s">
        <v>764</v>
      </c>
      <c r="Q10" s="157" t="s">
        <v>499</v>
      </c>
    </row>
    <row r="11" spans="1:17" s="170" customFormat="1">
      <c r="A11" s="37" t="s">
        <v>141</v>
      </c>
      <c r="B11" s="8" t="s">
        <v>698</v>
      </c>
      <c r="C11" s="8" t="s">
        <v>713</v>
      </c>
      <c r="D11" s="129" t="s">
        <v>728</v>
      </c>
      <c r="E11" s="160"/>
      <c r="F11" s="160" t="s">
        <v>767</v>
      </c>
      <c r="G11" s="160"/>
      <c r="H11" s="160" t="s">
        <v>749</v>
      </c>
      <c r="I11" s="160" t="s">
        <v>770</v>
      </c>
      <c r="J11" s="160">
        <v>1578</v>
      </c>
      <c r="K11" s="160" t="s">
        <v>748</v>
      </c>
      <c r="L11" s="160"/>
      <c r="M11" s="160" t="s">
        <v>752</v>
      </c>
      <c r="N11" s="160" t="s">
        <v>34</v>
      </c>
      <c r="O11" s="160" t="s">
        <v>769</v>
      </c>
      <c r="P11" s="176" t="s">
        <v>750</v>
      </c>
      <c r="Q11" s="164" t="s">
        <v>509</v>
      </c>
    </row>
    <row r="12" spans="1:17" s="170" customFormat="1" ht="27">
      <c r="A12" s="37" t="s">
        <v>141</v>
      </c>
      <c r="B12" s="8" t="s">
        <v>699</v>
      </c>
      <c r="C12" s="8" t="s">
        <v>714</v>
      </c>
      <c r="D12" s="129" t="s">
        <v>729</v>
      </c>
      <c r="E12" s="160"/>
      <c r="F12" s="160" t="s">
        <v>767</v>
      </c>
      <c r="G12" s="160"/>
      <c r="H12" s="160" t="s">
        <v>751</v>
      </c>
      <c r="I12" s="160" t="s">
        <v>770</v>
      </c>
      <c r="J12" s="160">
        <v>1578</v>
      </c>
      <c r="K12" s="160" t="s">
        <v>748</v>
      </c>
      <c r="L12" s="160"/>
      <c r="M12" s="160" t="s">
        <v>762</v>
      </c>
      <c r="N12" s="160" t="s">
        <v>34</v>
      </c>
      <c r="O12" s="160" t="s">
        <v>769</v>
      </c>
      <c r="P12" s="178" t="s">
        <v>763</v>
      </c>
      <c r="Q12" s="157" t="s">
        <v>556</v>
      </c>
    </row>
    <row r="13" spans="1:17" s="170" customFormat="1" ht="27">
      <c r="A13" s="37" t="s">
        <v>141</v>
      </c>
      <c r="B13" s="8" t="s">
        <v>699</v>
      </c>
      <c r="C13" s="8" t="s">
        <v>714</v>
      </c>
      <c r="D13" s="129" t="s">
        <v>730</v>
      </c>
      <c r="E13" s="160"/>
      <c r="F13" s="160" t="s">
        <v>767</v>
      </c>
      <c r="G13" s="160"/>
      <c r="H13" s="160" t="s">
        <v>751</v>
      </c>
      <c r="I13" s="160" t="s">
        <v>770</v>
      </c>
      <c r="J13" s="160">
        <v>1578</v>
      </c>
      <c r="K13" s="160" t="s">
        <v>748</v>
      </c>
      <c r="L13" s="160"/>
      <c r="M13" s="160" t="s">
        <v>762</v>
      </c>
      <c r="N13" s="160" t="s">
        <v>34</v>
      </c>
      <c r="O13" s="160" t="s">
        <v>769</v>
      </c>
      <c r="P13" s="178" t="s">
        <v>763</v>
      </c>
      <c r="Q13" s="157" t="s">
        <v>550</v>
      </c>
    </row>
    <row r="14" spans="1:17" s="170" customFormat="1">
      <c r="A14" s="37" t="s">
        <v>141</v>
      </c>
      <c r="B14" s="8" t="s">
        <v>700</v>
      </c>
      <c r="C14" s="8" t="s">
        <v>715</v>
      </c>
      <c r="D14" s="129" t="s">
        <v>731</v>
      </c>
      <c r="E14" s="160"/>
      <c r="F14" s="160" t="s">
        <v>767</v>
      </c>
      <c r="G14" s="160"/>
      <c r="H14" s="160" t="s">
        <v>751</v>
      </c>
      <c r="I14" s="160" t="s">
        <v>770</v>
      </c>
      <c r="J14" s="160">
        <v>1578</v>
      </c>
      <c r="K14" s="160" t="s">
        <v>748</v>
      </c>
      <c r="L14" s="160"/>
      <c r="M14" s="160" t="s">
        <v>753</v>
      </c>
      <c r="N14" s="160" t="s">
        <v>34</v>
      </c>
      <c r="O14" s="160" t="s">
        <v>769</v>
      </c>
      <c r="P14" s="176" t="s">
        <v>754</v>
      </c>
      <c r="Q14" s="157" t="s">
        <v>551</v>
      </c>
    </row>
    <row r="15" spans="1:17" s="170" customFormat="1">
      <c r="A15" s="37" t="s">
        <v>141</v>
      </c>
      <c r="B15" s="8" t="s">
        <v>700</v>
      </c>
      <c r="C15" s="8" t="s">
        <v>715</v>
      </c>
      <c r="D15" s="129" t="s">
        <v>732</v>
      </c>
      <c r="E15" s="160"/>
      <c r="F15" s="160" t="s">
        <v>767</v>
      </c>
      <c r="G15" s="160"/>
      <c r="H15" s="160" t="s">
        <v>751</v>
      </c>
      <c r="I15" s="160" t="s">
        <v>770</v>
      </c>
      <c r="J15" s="160">
        <v>1578</v>
      </c>
      <c r="K15" s="160" t="s">
        <v>748</v>
      </c>
      <c r="L15" s="160"/>
      <c r="M15" s="160" t="s">
        <v>753</v>
      </c>
      <c r="N15" s="160" t="s">
        <v>34</v>
      </c>
      <c r="O15" s="160" t="s">
        <v>769</v>
      </c>
      <c r="P15" s="176" t="s">
        <v>754</v>
      </c>
      <c r="Q15" s="157" t="s">
        <v>552</v>
      </c>
    </row>
    <row r="16" spans="1:17" s="170" customFormat="1">
      <c r="A16" s="37" t="s">
        <v>141</v>
      </c>
      <c r="B16" s="8" t="s">
        <v>701</v>
      </c>
      <c r="C16" s="8" t="s">
        <v>716</v>
      </c>
      <c r="D16" s="129" t="s">
        <v>733</v>
      </c>
      <c r="E16" s="160"/>
      <c r="F16" s="160" t="s">
        <v>768</v>
      </c>
      <c r="G16" s="160"/>
      <c r="H16" s="160" t="s">
        <v>751</v>
      </c>
      <c r="I16" s="160" t="s">
        <v>770</v>
      </c>
      <c r="J16" s="160">
        <v>1579</v>
      </c>
      <c r="K16" s="160" t="s">
        <v>744</v>
      </c>
      <c r="L16" s="160"/>
      <c r="M16" s="160" t="s">
        <v>746</v>
      </c>
      <c r="N16" s="160" t="s">
        <v>34</v>
      </c>
      <c r="O16" s="160" t="s">
        <v>769</v>
      </c>
      <c r="P16" s="176" t="s">
        <v>759</v>
      </c>
      <c r="Q16" s="157" t="s">
        <v>514</v>
      </c>
    </row>
    <row r="17" spans="1:17" s="170" customFormat="1">
      <c r="A17" s="37" t="s">
        <v>141</v>
      </c>
      <c r="B17" s="8" t="s">
        <v>702</v>
      </c>
      <c r="C17" s="8" t="s">
        <v>717</v>
      </c>
      <c r="D17" s="129" t="s">
        <v>734</v>
      </c>
      <c r="E17" s="160"/>
      <c r="F17" s="160" t="s">
        <v>767</v>
      </c>
      <c r="G17" s="160"/>
      <c r="H17" s="160" t="s">
        <v>751</v>
      </c>
      <c r="I17" s="160" t="s">
        <v>770</v>
      </c>
      <c r="J17" s="160">
        <v>1578</v>
      </c>
      <c r="K17" s="160" t="s">
        <v>748</v>
      </c>
      <c r="L17" s="160"/>
      <c r="M17" s="160" t="s">
        <v>755</v>
      </c>
      <c r="N17" s="160" t="s">
        <v>34</v>
      </c>
      <c r="O17" s="160" t="s">
        <v>769</v>
      </c>
      <c r="P17" s="176" t="s">
        <v>756</v>
      </c>
      <c r="Q17" s="157" t="s">
        <v>516</v>
      </c>
    </row>
    <row r="18" spans="1:17" s="170" customFormat="1">
      <c r="A18" s="37" t="s">
        <v>141</v>
      </c>
      <c r="B18" s="8" t="s">
        <v>702</v>
      </c>
      <c r="C18" s="8" t="s">
        <v>717</v>
      </c>
      <c r="D18" s="129" t="s">
        <v>735</v>
      </c>
      <c r="E18" s="160"/>
      <c r="F18" s="174"/>
      <c r="G18" s="174"/>
      <c r="H18" s="174"/>
      <c r="I18" s="174"/>
      <c r="J18" s="174"/>
      <c r="K18" s="174"/>
      <c r="L18" s="174"/>
      <c r="M18" s="174"/>
      <c r="N18" s="174"/>
      <c r="O18" s="174"/>
      <c r="P18" s="177"/>
      <c r="Q18" s="157" t="s">
        <v>553</v>
      </c>
    </row>
    <row r="19" spans="1:17" s="170" customFormat="1">
      <c r="A19" s="37" t="s">
        <v>141</v>
      </c>
      <c r="B19" s="8" t="s">
        <v>703</v>
      </c>
      <c r="C19" s="8" t="s">
        <v>718</v>
      </c>
      <c r="D19" s="129" t="s">
        <v>736</v>
      </c>
      <c r="E19" s="160"/>
      <c r="F19" s="174"/>
      <c r="G19" s="174"/>
      <c r="H19" s="174"/>
      <c r="I19" s="174"/>
      <c r="J19" s="174"/>
      <c r="K19" s="174"/>
      <c r="L19" s="174"/>
      <c r="M19" s="174"/>
      <c r="N19" s="174"/>
      <c r="O19" s="174"/>
      <c r="P19" s="177"/>
      <c r="Q19" s="157" t="s">
        <v>518</v>
      </c>
    </row>
    <row r="20" spans="1:17" s="170" customFormat="1">
      <c r="A20" s="37" t="s">
        <v>141</v>
      </c>
      <c r="B20" s="8" t="s">
        <v>704</v>
      </c>
      <c r="C20" s="8" t="s">
        <v>719</v>
      </c>
      <c r="D20" s="129" t="s">
        <v>737</v>
      </c>
      <c r="E20" s="160"/>
      <c r="F20" s="160" t="s">
        <v>768</v>
      </c>
      <c r="G20" s="160"/>
      <c r="H20" s="160" t="s">
        <v>745</v>
      </c>
      <c r="I20" s="160" t="s">
        <v>770</v>
      </c>
      <c r="J20" s="160">
        <v>1579</v>
      </c>
      <c r="K20" s="160" t="s">
        <v>744</v>
      </c>
      <c r="L20" s="160"/>
      <c r="M20" s="160" t="s">
        <v>746</v>
      </c>
      <c r="N20" s="160" t="s">
        <v>34</v>
      </c>
      <c r="O20" s="160" t="s">
        <v>769</v>
      </c>
      <c r="P20" s="176" t="s">
        <v>747</v>
      </c>
      <c r="Q20" s="157" t="s">
        <v>521</v>
      </c>
    </row>
    <row r="21" spans="1:17" s="170" customFormat="1">
      <c r="A21" s="37" t="s">
        <v>141</v>
      </c>
      <c r="B21" s="8" t="s">
        <v>705</v>
      </c>
      <c r="C21" s="8" t="s">
        <v>720</v>
      </c>
      <c r="D21" s="129" t="s">
        <v>738</v>
      </c>
      <c r="E21" s="160"/>
      <c r="F21" s="160" t="s">
        <v>768</v>
      </c>
      <c r="G21" s="160"/>
      <c r="H21" s="160" t="s">
        <v>745</v>
      </c>
      <c r="I21" s="160" t="s">
        <v>770</v>
      </c>
      <c r="J21" s="160">
        <v>1579</v>
      </c>
      <c r="K21" s="160" t="s">
        <v>744</v>
      </c>
      <c r="L21" s="160"/>
      <c r="M21" s="160" t="s">
        <v>746</v>
      </c>
      <c r="N21" s="160" t="s">
        <v>34</v>
      </c>
      <c r="O21" s="160" t="s">
        <v>769</v>
      </c>
      <c r="P21" s="176" t="s">
        <v>747</v>
      </c>
      <c r="Q21" s="157" t="s">
        <v>522</v>
      </c>
    </row>
    <row r="22" spans="1:17" s="170" customFormat="1">
      <c r="A22" s="37" t="s">
        <v>141</v>
      </c>
      <c r="B22" s="8" t="s">
        <v>706</v>
      </c>
      <c r="C22" s="8" t="s">
        <v>721</v>
      </c>
      <c r="D22" s="129" t="s">
        <v>739</v>
      </c>
      <c r="E22" s="160"/>
      <c r="F22" s="160" t="s">
        <v>768</v>
      </c>
      <c r="G22" s="160"/>
      <c r="H22" s="160" t="s">
        <v>745</v>
      </c>
      <c r="I22" s="160" t="s">
        <v>770</v>
      </c>
      <c r="J22" s="160">
        <v>1579</v>
      </c>
      <c r="K22" s="160" t="s">
        <v>744</v>
      </c>
      <c r="L22" s="160"/>
      <c r="M22" s="160" t="s">
        <v>746</v>
      </c>
      <c r="N22" s="160" t="s">
        <v>34</v>
      </c>
      <c r="O22" s="160" t="s">
        <v>769</v>
      </c>
      <c r="P22" s="176" t="s">
        <v>747</v>
      </c>
      <c r="Q22" s="157" t="s">
        <v>523</v>
      </c>
    </row>
    <row r="23" spans="1:17" s="170" customFormat="1">
      <c r="A23" s="37" t="s">
        <v>141</v>
      </c>
      <c r="B23" s="8" t="s">
        <v>707</v>
      </c>
      <c r="C23" s="8" t="s">
        <v>722</v>
      </c>
      <c r="D23" s="129" t="s">
        <v>740</v>
      </c>
      <c r="E23" s="8"/>
      <c r="F23" s="175" t="s">
        <v>743</v>
      </c>
      <c r="G23" s="171"/>
      <c r="H23" s="172"/>
      <c r="I23" s="172"/>
      <c r="J23" s="171"/>
      <c r="K23" s="172"/>
      <c r="L23" s="172"/>
      <c r="M23" s="172"/>
      <c r="N23" s="171"/>
      <c r="O23" s="171"/>
      <c r="P23" s="173"/>
      <c r="Q23" s="164" t="s">
        <v>525</v>
      </c>
    </row>
    <row r="24" spans="1:17" s="170" customFormat="1">
      <c r="A24" s="37" t="s">
        <v>141</v>
      </c>
      <c r="B24" s="8" t="s">
        <v>708</v>
      </c>
      <c r="C24" s="8" t="s">
        <v>723</v>
      </c>
      <c r="D24" s="129" t="s">
        <v>741</v>
      </c>
      <c r="E24" s="8"/>
      <c r="F24" s="175" t="s">
        <v>743</v>
      </c>
      <c r="G24" s="171"/>
      <c r="H24" s="172"/>
      <c r="I24" s="172"/>
      <c r="J24" s="171"/>
      <c r="K24" s="172"/>
      <c r="L24" s="172"/>
      <c r="M24" s="172"/>
      <c r="N24" s="171"/>
      <c r="O24" s="171"/>
      <c r="P24" s="173"/>
      <c r="Q24" s="168" t="s">
        <v>742</v>
      </c>
    </row>
    <row r="25" spans="1:17" ht="6" customHeight="1">
      <c r="A25" s="43"/>
      <c r="B25" s="44"/>
      <c r="C25" s="44"/>
      <c r="D25" s="45"/>
      <c r="E25" s="44"/>
      <c r="F25" s="44"/>
      <c r="G25" s="44"/>
      <c r="H25" s="46"/>
      <c r="I25" s="46"/>
      <c r="J25" s="44"/>
      <c r="K25" s="46"/>
      <c r="L25" s="46"/>
      <c r="M25" s="46"/>
      <c r="N25" s="44"/>
      <c r="O25" s="44"/>
      <c r="P25" s="45"/>
      <c r="Q25" s="45"/>
    </row>
  </sheetData>
  <autoFilter ref="A5:Q5"/>
  <mergeCells count="11">
    <mergeCell ref="Q3:Q5"/>
    <mergeCell ref="E4:E5"/>
    <mergeCell ref="F4:M4"/>
    <mergeCell ref="N4:N5"/>
    <mergeCell ref="O4:O5"/>
    <mergeCell ref="P4:P5"/>
    <mergeCell ref="A3:A5"/>
    <mergeCell ref="B3:B5"/>
    <mergeCell ref="C3:C5"/>
    <mergeCell ref="D3:D5"/>
    <mergeCell ref="E3:P3"/>
  </mergeCells>
  <phoneticPr fontId="2" type="noConversion"/>
  <pageMargins left="0.7" right="0.7" top="0.75" bottom="0.75" header="0.3" footer="0.3"/>
  <pageSetup paperSize="9" orientation="portrait" horizontalDpi="200" verticalDpi="200"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33"/>
  <sheetViews>
    <sheetView zoomScale="85" zoomScaleNormal="85" workbookViewId="0">
      <selection activeCell="N11" sqref="N11"/>
    </sheetView>
  </sheetViews>
  <sheetFormatPr defaultRowHeight="16.5"/>
  <cols>
    <col min="1" max="1" width="4.75" bestFit="1" customWidth="1"/>
    <col min="2" max="2" width="6.375" bestFit="1" customWidth="1"/>
    <col min="3" max="3" width="10.25" bestFit="1" customWidth="1"/>
    <col min="4" max="4" width="19.875" bestFit="1" customWidth="1"/>
    <col min="5" max="5" width="4.75" customWidth="1"/>
    <col min="6" max="6" width="8.125" bestFit="1" customWidth="1"/>
    <col min="7" max="7" width="4.75" bestFit="1" customWidth="1"/>
    <col min="8" max="8" width="12.625" bestFit="1" customWidth="1"/>
    <col min="9" max="9" width="30.875" bestFit="1" customWidth="1"/>
    <col min="10" max="10" width="5.875" bestFit="1" customWidth="1"/>
    <col min="11" max="11" width="10.375" customWidth="1"/>
    <col min="12" max="12" width="6.5" style="17" bestFit="1" customWidth="1"/>
    <col min="13" max="13" width="11.75" customWidth="1"/>
    <col min="14" max="14" width="8" bestFit="1" customWidth="1"/>
    <col min="15" max="15" width="11.875" bestFit="1" customWidth="1"/>
    <col min="16" max="16" width="19.875" style="18" bestFit="1" customWidth="1"/>
    <col min="17" max="17" width="46.125" style="18" bestFit="1" customWidth="1"/>
  </cols>
  <sheetData>
    <row r="1" spans="1:17">
      <c r="B1" s="47" t="s">
        <v>258</v>
      </c>
    </row>
    <row r="3" spans="1:17" ht="16.5" customHeight="1">
      <c r="A3" s="221" t="s">
        <v>16</v>
      </c>
      <c r="B3" s="221" t="s">
        <v>17</v>
      </c>
      <c r="C3" s="221" t="s">
        <v>192</v>
      </c>
      <c r="D3" s="221" t="s">
        <v>18</v>
      </c>
      <c r="E3" s="221" t="s">
        <v>19</v>
      </c>
      <c r="F3" s="221"/>
      <c r="G3" s="221"/>
      <c r="H3" s="221"/>
      <c r="I3" s="221"/>
      <c r="J3" s="221"/>
      <c r="K3" s="221"/>
      <c r="L3" s="221"/>
      <c r="M3" s="221"/>
      <c r="N3" s="221"/>
      <c r="O3" s="221"/>
      <c r="P3" s="221"/>
      <c r="Q3" s="221" t="s">
        <v>20</v>
      </c>
    </row>
    <row r="4" spans="1:17" s="11" customFormat="1" ht="16.5" customHeight="1">
      <c r="A4" s="221"/>
      <c r="B4" s="221"/>
      <c r="C4" s="221"/>
      <c r="D4" s="221"/>
      <c r="E4" s="221" t="s">
        <v>21</v>
      </c>
      <c r="F4" s="212" t="s">
        <v>22</v>
      </c>
      <c r="G4" s="213"/>
      <c r="H4" s="213"/>
      <c r="I4" s="213"/>
      <c r="J4" s="213"/>
      <c r="K4" s="213"/>
      <c r="L4" s="213"/>
      <c r="M4" s="213"/>
      <c r="N4" s="215" t="s">
        <v>23</v>
      </c>
      <c r="O4" s="221" t="s">
        <v>24</v>
      </c>
      <c r="P4" s="221" t="s">
        <v>25</v>
      </c>
      <c r="Q4" s="221"/>
    </row>
    <row r="5" spans="1:17" s="11" customFormat="1" ht="27" customHeight="1">
      <c r="A5" s="221"/>
      <c r="B5" s="221"/>
      <c r="C5" s="221"/>
      <c r="D5" s="221"/>
      <c r="E5" s="221"/>
      <c r="F5" s="12" t="s">
        <v>26</v>
      </c>
      <c r="G5" s="12" t="s">
        <v>27</v>
      </c>
      <c r="H5" s="13" t="s">
        <v>28</v>
      </c>
      <c r="I5" s="12" t="s">
        <v>29</v>
      </c>
      <c r="J5" s="12" t="s">
        <v>30</v>
      </c>
      <c r="K5" s="13" t="s">
        <v>31</v>
      </c>
      <c r="L5" s="14" t="s">
        <v>32</v>
      </c>
      <c r="M5" s="13" t="s">
        <v>33</v>
      </c>
      <c r="N5" s="215"/>
      <c r="O5" s="215"/>
      <c r="P5" s="215"/>
      <c r="Q5" s="221"/>
    </row>
    <row r="6" spans="1:17" s="53" customFormat="1">
      <c r="A6" s="51" t="s">
        <v>224</v>
      </c>
      <c r="B6" s="81" t="s">
        <v>432</v>
      </c>
      <c r="C6" s="51" t="s">
        <v>570</v>
      </c>
      <c r="D6" s="52" t="str">
        <f t="shared" ref="D6:D11" si="0">CONCATENATE(IF(E6="M","MDS",IF(E6="G","GDS","DS")),"-",F6,G6,"-",L6,"-",N6)</f>
        <v>DS-PFLB1-PHPG-NXA</v>
      </c>
      <c r="E6" s="51"/>
      <c r="F6" s="51" t="str">
        <f>UPPER(A6)&amp;B6</f>
        <v>PFLB</v>
      </c>
      <c r="G6" s="51">
        <v>1</v>
      </c>
      <c r="H6" s="51" t="s">
        <v>259</v>
      </c>
      <c r="I6" s="51" t="s">
        <v>262</v>
      </c>
      <c r="J6" s="51">
        <v>1569</v>
      </c>
      <c r="K6" s="51" t="s">
        <v>250</v>
      </c>
      <c r="L6" s="51" t="s">
        <v>250</v>
      </c>
      <c r="M6" s="51" t="s">
        <v>268</v>
      </c>
      <c r="N6" s="51" t="s">
        <v>34</v>
      </c>
      <c r="O6" s="51">
        <v>50</v>
      </c>
      <c r="P6" s="52" t="str">
        <f t="shared" ref="P6:P11" si="1">D6</f>
        <v>DS-PFLB1-PHPG-NXA</v>
      </c>
      <c r="Q6" s="52"/>
    </row>
    <row r="7" spans="1:17" s="53" customFormat="1">
      <c r="A7" s="51" t="s">
        <v>224</v>
      </c>
      <c r="B7" s="81" t="s">
        <v>432</v>
      </c>
      <c r="C7" s="51" t="s">
        <v>570</v>
      </c>
      <c r="D7" s="52" t="str">
        <f t="shared" si="0"/>
        <v>DS-PFLB2-PHPG-NXA</v>
      </c>
      <c r="E7" s="51"/>
      <c r="F7" s="51" t="str">
        <f t="shared" ref="F7:F8" si="2">UPPER(A7)&amp;B7</f>
        <v>PFLB</v>
      </c>
      <c r="G7" s="51">
        <v>2</v>
      </c>
      <c r="H7" s="51" t="s">
        <v>260</v>
      </c>
      <c r="I7" s="51" t="s">
        <v>261</v>
      </c>
      <c r="J7" s="51">
        <v>1569</v>
      </c>
      <c r="K7" s="51" t="s">
        <v>250</v>
      </c>
      <c r="L7" s="51" t="s">
        <v>250</v>
      </c>
      <c r="M7" s="51" t="s">
        <v>268</v>
      </c>
      <c r="N7" s="51" t="s">
        <v>34</v>
      </c>
      <c r="O7" s="51">
        <v>50</v>
      </c>
      <c r="P7" s="52" t="str">
        <f t="shared" si="1"/>
        <v>DS-PFLB2-PHPG-NXA</v>
      </c>
      <c r="Q7" s="52"/>
    </row>
    <row r="8" spans="1:17" s="53" customFormat="1">
      <c r="A8" s="51" t="s">
        <v>224</v>
      </c>
      <c r="B8" s="81" t="s">
        <v>432</v>
      </c>
      <c r="C8" s="51" t="s">
        <v>570</v>
      </c>
      <c r="D8" s="52" t="str">
        <f t="shared" ref="D8" si="3">CONCATENATE(IF(E8="M","MDS",IF(E8="G","GDS","DS")),"-",F8,G8,"-",L8,"-",N8)</f>
        <v>DS-PFLB2-PHPG-NXA</v>
      </c>
      <c r="E8" s="51"/>
      <c r="F8" s="51" t="str">
        <f t="shared" si="2"/>
        <v>PFLB</v>
      </c>
      <c r="G8" s="51">
        <v>2</v>
      </c>
      <c r="H8" s="51" t="s">
        <v>260</v>
      </c>
      <c r="I8" s="51" t="s">
        <v>261</v>
      </c>
      <c r="J8" s="51">
        <v>1569</v>
      </c>
      <c r="K8" s="51" t="s">
        <v>250</v>
      </c>
      <c r="L8" s="51" t="s">
        <v>250</v>
      </c>
      <c r="M8" s="51" t="s">
        <v>268</v>
      </c>
      <c r="N8" s="51" t="s">
        <v>34</v>
      </c>
      <c r="O8" s="51">
        <v>50</v>
      </c>
      <c r="P8" s="52" t="str">
        <f t="shared" ref="P8" si="4">D8</f>
        <v>DS-PFLB2-PHPG-NXA</v>
      </c>
      <c r="Q8" s="52"/>
    </row>
    <row r="9" spans="1:17" s="53" customFormat="1">
      <c r="A9" s="51" t="s">
        <v>224</v>
      </c>
      <c r="B9" s="81" t="s">
        <v>432</v>
      </c>
      <c r="C9" s="51" t="s">
        <v>570</v>
      </c>
      <c r="D9" s="52" t="str">
        <f t="shared" ref="D9" si="5">CONCATENATE(IF(E9="M","MDS",IF(E9="G","GDS","DS")),"-",F9,G9,"-",L9,"-",N9)</f>
        <v>DS-PFLB2-PHPG-NXA</v>
      </c>
      <c r="E9" s="51"/>
      <c r="F9" s="51" t="str">
        <f t="shared" ref="F9" si="6">UPPER(A9)&amp;B9</f>
        <v>PFLB</v>
      </c>
      <c r="G9" s="51">
        <v>2</v>
      </c>
      <c r="H9" s="51" t="s">
        <v>260</v>
      </c>
      <c r="I9" s="51" t="s">
        <v>261</v>
      </c>
      <c r="J9" s="51">
        <v>1569</v>
      </c>
      <c r="K9" s="51" t="s">
        <v>250</v>
      </c>
      <c r="L9" s="51" t="s">
        <v>250</v>
      </c>
      <c r="M9" s="51" t="s">
        <v>268</v>
      </c>
      <c r="N9" s="51" t="s">
        <v>34</v>
      </c>
      <c r="O9" s="51">
        <v>50</v>
      </c>
      <c r="P9" s="52" t="str">
        <f t="shared" ref="P9" si="7">D9</f>
        <v>DS-PFLB2-PHPG-NXA</v>
      </c>
      <c r="Q9" s="52"/>
    </row>
    <row r="10" spans="1:17" s="53" customFormat="1">
      <c r="A10" s="51" t="s">
        <v>224</v>
      </c>
      <c r="B10" s="81" t="s">
        <v>432</v>
      </c>
      <c r="C10" s="51" t="s">
        <v>570</v>
      </c>
      <c r="D10" s="52" t="str">
        <f t="shared" si="0"/>
        <v>DS-PFLB2-PHPG-NXA</v>
      </c>
      <c r="E10" s="51"/>
      <c r="F10" s="51" t="str">
        <f t="shared" ref="F10:F11" si="8">UPPER(A10)&amp;B10</f>
        <v>PFLB</v>
      </c>
      <c r="G10" s="51">
        <v>2</v>
      </c>
      <c r="H10" s="51" t="s">
        <v>260</v>
      </c>
      <c r="I10" s="51" t="s">
        <v>261</v>
      </c>
      <c r="J10" s="51">
        <v>1569</v>
      </c>
      <c r="K10" s="51" t="s">
        <v>250</v>
      </c>
      <c r="L10" s="51" t="s">
        <v>250</v>
      </c>
      <c r="M10" s="51" t="s">
        <v>268</v>
      </c>
      <c r="N10" s="51" t="s">
        <v>34</v>
      </c>
      <c r="O10" s="51">
        <v>50</v>
      </c>
      <c r="P10" s="52" t="str">
        <f t="shared" si="1"/>
        <v>DS-PFLB2-PHPG-NXA</v>
      </c>
      <c r="Q10" s="52"/>
    </row>
    <row r="11" spans="1:17" s="53" customFormat="1">
      <c r="A11" s="51" t="s">
        <v>224</v>
      </c>
      <c r="B11" s="81" t="s">
        <v>432</v>
      </c>
      <c r="C11" s="51" t="s">
        <v>571</v>
      </c>
      <c r="D11" s="52" t="str">
        <f t="shared" si="0"/>
        <v>DS-PFLB1-FWM1-NXA</v>
      </c>
      <c r="E11" s="51"/>
      <c r="F11" s="51" t="str">
        <f t="shared" si="8"/>
        <v>PFLB</v>
      </c>
      <c r="G11" s="51">
        <v>1</v>
      </c>
      <c r="H11" s="51" t="s">
        <v>259</v>
      </c>
      <c r="I11" s="51" t="s">
        <v>262</v>
      </c>
      <c r="J11" s="51">
        <v>1569</v>
      </c>
      <c r="K11" s="51" t="s">
        <v>250</v>
      </c>
      <c r="L11" s="51" t="s">
        <v>249</v>
      </c>
      <c r="M11" s="51" t="s">
        <v>225</v>
      </c>
      <c r="N11" s="51" t="s">
        <v>34</v>
      </c>
      <c r="O11" s="51">
        <v>20</v>
      </c>
      <c r="P11" s="52" t="str">
        <f t="shared" si="1"/>
        <v>DS-PFLB1-FWM1-NXA</v>
      </c>
      <c r="Q11" s="52"/>
    </row>
    <row r="12" spans="1:17" ht="6" customHeight="1">
      <c r="A12" s="43" t="s">
        <v>163</v>
      </c>
      <c r="B12" s="44"/>
      <c r="C12" s="44"/>
      <c r="D12" s="45"/>
      <c r="E12" s="44"/>
      <c r="F12" s="44"/>
      <c r="G12" s="44"/>
      <c r="H12" s="46"/>
      <c r="I12" s="46"/>
      <c r="J12" s="44"/>
      <c r="K12" s="46"/>
      <c r="L12" s="46"/>
      <c r="M12" s="46"/>
      <c r="N12" s="44"/>
      <c r="O12" s="44"/>
      <c r="P12" s="45"/>
      <c r="Q12" s="45"/>
    </row>
    <row r="13" spans="1:17" s="53" customFormat="1">
      <c r="A13" s="51" t="s">
        <v>140</v>
      </c>
      <c r="B13" s="51" t="s">
        <v>573</v>
      </c>
      <c r="C13" s="51" t="s">
        <v>266</v>
      </c>
      <c r="D13" s="52" t="str">
        <f t="shared" ref="D13:D16" si="9">CONCATENATE(IF(E13="M","MDS",IF(E13="G","GDS","DS")),"-",F13,G13,"-",L13,"-",N13)</f>
        <v>DS-THPG1-THPG-NXA</v>
      </c>
      <c r="E13" s="51"/>
      <c r="F13" s="51" t="s">
        <v>265</v>
      </c>
      <c r="G13" s="51">
        <v>1</v>
      </c>
      <c r="H13" s="51" t="s">
        <v>247</v>
      </c>
      <c r="I13" s="51" t="s">
        <v>248</v>
      </c>
      <c r="J13" s="51">
        <v>1579</v>
      </c>
      <c r="K13" s="51" t="s">
        <v>265</v>
      </c>
      <c r="L13" s="51" t="s">
        <v>265</v>
      </c>
      <c r="M13" s="51" t="s">
        <v>270</v>
      </c>
      <c r="N13" s="51" t="s">
        <v>34</v>
      </c>
      <c r="O13" s="51">
        <v>50</v>
      </c>
      <c r="P13" s="52" t="str">
        <f t="shared" ref="P13:P18" si="10">D13</f>
        <v>DS-THPG1-THPG-NXA</v>
      </c>
      <c r="Q13" s="52"/>
    </row>
    <row r="14" spans="1:17" s="53" customFormat="1">
      <c r="A14" s="51" t="s">
        <v>140</v>
      </c>
      <c r="B14" s="51" t="s">
        <v>13</v>
      </c>
      <c r="C14" s="51" t="s">
        <v>266</v>
      </c>
      <c r="D14" s="52" t="str">
        <f t="shared" si="9"/>
        <v>DS-THPG1-FWM1-NXA</v>
      </c>
      <c r="E14" s="51"/>
      <c r="F14" s="51" t="s">
        <v>265</v>
      </c>
      <c r="G14" s="51">
        <v>1</v>
      </c>
      <c r="H14" s="51" t="s">
        <v>247</v>
      </c>
      <c r="I14" s="51" t="s">
        <v>248</v>
      </c>
      <c r="J14" s="51">
        <v>1579</v>
      </c>
      <c r="K14" s="51" t="s">
        <v>265</v>
      </c>
      <c r="L14" s="51" t="s">
        <v>219</v>
      </c>
      <c r="M14" s="51" t="s">
        <v>271</v>
      </c>
      <c r="N14" s="51" t="s">
        <v>34</v>
      </c>
      <c r="O14" s="51">
        <v>20</v>
      </c>
      <c r="P14" s="52" t="str">
        <f t="shared" si="10"/>
        <v>DS-THPG1-FWM1-NXA</v>
      </c>
      <c r="Q14" s="52"/>
    </row>
    <row r="15" spans="1:17" s="53" customFormat="1">
      <c r="A15" s="51" t="s">
        <v>140</v>
      </c>
      <c r="B15" s="51" t="s">
        <v>13</v>
      </c>
      <c r="C15" s="51" t="s">
        <v>267</v>
      </c>
      <c r="D15" s="52" t="str">
        <f t="shared" si="9"/>
        <v>DS-THPG1-THPG-NXA</v>
      </c>
      <c r="E15" s="51"/>
      <c r="F15" s="51" t="s">
        <v>265</v>
      </c>
      <c r="G15" s="51">
        <v>1</v>
      </c>
      <c r="H15" s="51" t="s">
        <v>247</v>
      </c>
      <c r="I15" s="51" t="s">
        <v>248</v>
      </c>
      <c r="J15" s="51">
        <v>1579</v>
      </c>
      <c r="K15" s="51" t="s">
        <v>265</v>
      </c>
      <c r="L15" s="51" t="s">
        <v>265</v>
      </c>
      <c r="M15" s="51" t="s">
        <v>270</v>
      </c>
      <c r="N15" s="51" t="s">
        <v>34</v>
      </c>
      <c r="O15" s="51">
        <v>50</v>
      </c>
      <c r="P15" s="52" t="str">
        <f t="shared" si="10"/>
        <v>DS-THPG1-THPG-NXA</v>
      </c>
      <c r="Q15" s="52"/>
    </row>
    <row r="16" spans="1:17" s="53" customFormat="1">
      <c r="A16" s="51" t="s">
        <v>140</v>
      </c>
      <c r="B16" s="51" t="s">
        <v>13</v>
      </c>
      <c r="C16" s="51" t="s">
        <v>267</v>
      </c>
      <c r="D16" s="52" t="str">
        <f t="shared" si="9"/>
        <v>DS-THPG1-FWM1-NXA</v>
      </c>
      <c r="E16" s="51"/>
      <c r="F16" s="51" t="s">
        <v>265</v>
      </c>
      <c r="G16" s="51">
        <v>1</v>
      </c>
      <c r="H16" s="51" t="s">
        <v>247</v>
      </c>
      <c r="I16" s="51" t="s">
        <v>248</v>
      </c>
      <c r="J16" s="51">
        <v>1579</v>
      </c>
      <c r="K16" s="51" t="s">
        <v>265</v>
      </c>
      <c r="L16" s="51" t="s">
        <v>219</v>
      </c>
      <c r="M16" s="51" t="s">
        <v>271</v>
      </c>
      <c r="N16" s="51" t="s">
        <v>34</v>
      </c>
      <c r="O16" s="51">
        <v>20</v>
      </c>
      <c r="P16" s="52" t="str">
        <f t="shared" si="10"/>
        <v>DS-THPG1-FWM1-NXA</v>
      </c>
      <c r="Q16" s="52"/>
    </row>
    <row r="17" spans="1:17" s="53" customFormat="1">
      <c r="A17" s="51" t="s">
        <v>141</v>
      </c>
      <c r="B17" s="51" t="s">
        <v>13</v>
      </c>
      <c r="C17" s="51" t="s">
        <v>272</v>
      </c>
      <c r="D17" s="52" t="str">
        <f t="shared" ref="D17" si="11">CONCATENATE(IF(E17="M","MDS",IF(E17="G","GDS","DS")),"-",F17,G17,"-",L17,"-",N17)</f>
        <v>DS-TOLB1-TOLB-NXA</v>
      </c>
      <c r="E17" s="51"/>
      <c r="F17" s="51" t="s">
        <v>220</v>
      </c>
      <c r="G17" s="51">
        <v>1</v>
      </c>
      <c r="H17" s="51" t="s">
        <v>277</v>
      </c>
      <c r="I17" s="51" t="s">
        <v>222</v>
      </c>
      <c r="J17" s="51">
        <v>1579</v>
      </c>
      <c r="K17" s="51" t="s">
        <v>220</v>
      </c>
      <c r="L17" s="51" t="s">
        <v>220</v>
      </c>
      <c r="M17" s="51" t="s">
        <v>223</v>
      </c>
      <c r="N17" s="51" t="s">
        <v>34</v>
      </c>
      <c r="O17" s="51">
        <v>50</v>
      </c>
      <c r="P17" s="52" t="str">
        <f t="shared" si="10"/>
        <v>DS-TOLB1-TOLB-NXA</v>
      </c>
      <c r="Q17" s="52"/>
    </row>
    <row r="18" spans="1:17" s="53" customFormat="1">
      <c r="A18" s="51" t="s">
        <v>141</v>
      </c>
      <c r="B18" s="51" t="s">
        <v>13</v>
      </c>
      <c r="C18" s="51" t="s">
        <v>272</v>
      </c>
      <c r="D18" s="52" t="str">
        <f t="shared" ref="D18" si="12">CONCATENATE(IF(E18="M","MDS",IF(E18="G","GDS","DS")),"-",F18,G18,"-",L18,"-",N18)</f>
        <v>DS-TOLB1-FWM5-NXA</v>
      </c>
      <c r="E18" s="51"/>
      <c r="F18" s="51" t="s">
        <v>220</v>
      </c>
      <c r="G18" s="51">
        <v>1</v>
      </c>
      <c r="H18" s="51" t="s">
        <v>277</v>
      </c>
      <c r="I18" s="51" t="s">
        <v>222</v>
      </c>
      <c r="J18" s="51">
        <v>1579</v>
      </c>
      <c r="K18" s="51" t="s">
        <v>220</v>
      </c>
      <c r="L18" s="51" t="s">
        <v>221</v>
      </c>
      <c r="M18" s="51" t="s">
        <v>35</v>
      </c>
      <c r="N18" s="51" t="s">
        <v>34</v>
      </c>
      <c r="O18" s="51">
        <v>20</v>
      </c>
      <c r="P18" s="52" t="str">
        <f t="shared" si="10"/>
        <v>DS-TOLB1-FWM5-NXA</v>
      </c>
      <c r="Q18" s="52"/>
    </row>
    <row r="19" spans="1:17" ht="6" customHeight="1">
      <c r="A19" s="43" t="s">
        <v>139</v>
      </c>
      <c r="B19" s="44"/>
      <c r="C19" s="44"/>
      <c r="D19" s="45"/>
      <c r="E19" s="44"/>
      <c r="F19" s="44"/>
      <c r="G19" s="44"/>
      <c r="H19" s="46"/>
      <c r="I19" s="46"/>
      <c r="J19" s="44"/>
      <c r="K19" s="46"/>
      <c r="L19" s="46"/>
      <c r="M19" s="46"/>
      <c r="N19" s="44"/>
      <c r="O19" s="44"/>
      <c r="P19" s="45"/>
      <c r="Q19" s="45"/>
    </row>
    <row r="20" spans="1:17" s="53" customFormat="1">
      <c r="A20" s="51" t="s">
        <v>141</v>
      </c>
      <c r="B20" s="51" t="s">
        <v>14</v>
      </c>
      <c r="C20" s="51" t="s">
        <v>273</v>
      </c>
      <c r="D20" s="52" t="str">
        <f>CONCATENATE(IF(E20="M","MDS",IF(E20="G","GDS","DS")),"-",F20,G20,"-",L20,"-",N20)</f>
        <v>DS-TSHP1-TSHP-NXA</v>
      </c>
      <c r="E20" s="51"/>
      <c r="F20" s="51" t="s">
        <v>275</v>
      </c>
      <c r="G20" s="51">
        <v>1</v>
      </c>
      <c r="H20" s="51" t="s">
        <v>217</v>
      </c>
      <c r="I20" s="51" t="s">
        <v>216</v>
      </c>
      <c r="J20" s="51">
        <v>1579</v>
      </c>
      <c r="K20" s="51" t="s">
        <v>275</v>
      </c>
      <c r="L20" s="51" t="s">
        <v>275</v>
      </c>
      <c r="M20" s="51" t="s">
        <v>276</v>
      </c>
      <c r="N20" s="51" t="s">
        <v>34</v>
      </c>
      <c r="O20" s="51">
        <v>50</v>
      </c>
      <c r="P20" s="52" t="str">
        <f>D20</f>
        <v>DS-TSHP1-TSHP-NXA</v>
      </c>
      <c r="Q20" s="52"/>
    </row>
    <row r="21" spans="1:17" s="53" customFormat="1">
      <c r="A21" s="51" t="s">
        <v>141</v>
      </c>
      <c r="B21" s="51" t="s">
        <v>14</v>
      </c>
      <c r="C21" s="51" t="s">
        <v>273</v>
      </c>
      <c r="D21" s="52" t="str">
        <f>CONCATENATE(IF(E21="M","MDS",IF(E21="G","GDS","DS")),"-",F21,G21,"-",L21,"-",N21)</f>
        <v>DS-TSHP1-FWM4-NXA</v>
      </c>
      <c r="E21" s="51"/>
      <c r="F21" s="51" t="s">
        <v>275</v>
      </c>
      <c r="G21" s="51">
        <v>1</v>
      </c>
      <c r="H21" s="51" t="s">
        <v>217</v>
      </c>
      <c r="I21" s="51" t="s">
        <v>216</v>
      </c>
      <c r="J21" s="51">
        <v>1579</v>
      </c>
      <c r="K21" s="51" t="s">
        <v>275</v>
      </c>
      <c r="L21" s="51" t="s">
        <v>218</v>
      </c>
      <c r="M21" s="51" t="s">
        <v>225</v>
      </c>
      <c r="N21" s="51" t="s">
        <v>34</v>
      </c>
      <c r="O21" s="51">
        <v>20</v>
      </c>
      <c r="P21" s="52" t="str">
        <f>D21</f>
        <v>DS-TSHP1-FWM4-NXA</v>
      </c>
      <c r="Q21" s="52"/>
    </row>
    <row r="22" spans="1:17" s="53" customFormat="1">
      <c r="A22" s="51" t="s">
        <v>141</v>
      </c>
      <c r="B22" s="51" t="s">
        <v>14</v>
      </c>
      <c r="C22" s="51" t="s">
        <v>274</v>
      </c>
      <c r="D22" s="52" t="str">
        <f>CONCATENATE(IF(E22="M","MDS",IF(E22="G","GDS","DS")),"-",F22,G22,"-",L22,"-",N22)</f>
        <v>DS-TSHP1-TCAC-NXA</v>
      </c>
      <c r="E22" s="51"/>
      <c r="F22" s="51" t="s">
        <v>275</v>
      </c>
      <c r="G22" s="51">
        <v>1</v>
      </c>
      <c r="H22" s="51" t="s">
        <v>217</v>
      </c>
      <c r="I22" s="51" t="s">
        <v>216</v>
      </c>
      <c r="J22" s="51">
        <v>1579</v>
      </c>
      <c r="K22" s="51" t="s">
        <v>275</v>
      </c>
      <c r="L22" s="51" t="s">
        <v>278</v>
      </c>
      <c r="M22" s="51" t="s">
        <v>279</v>
      </c>
      <c r="N22" s="51" t="s">
        <v>34</v>
      </c>
      <c r="O22" s="51">
        <v>50</v>
      </c>
      <c r="P22" s="52" t="str">
        <f>D22</f>
        <v>DS-TSHP1-TCAC-NXA</v>
      </c>
      <c r="Q22" s="52"/>
    </row>
    <row r="23" spans="1:17" s="53" customFormat="1">
      <c r="A23" s="51" t="s">
        <v>141</v>
      </c>
      <c r="B23" s="51" t="s">
        <v>14</v>
      </c>
      <c r="C23" s="51" t="s">
        <v>274</v>
      </c>
      <c r="D23" s="52" t="str">
        <f>CONCATENATE(IF(E23="M","MDS",IF(E23="G","GDS","DS")),"-",F23,G23,"-",L23,"-",N23)</f>
        <v>DS-TSHP1-FWM4-NXA</v>
      </c>
      <c r="E23" s="51"/>
      <c r="F23" s="51" t="s">
        <v>275</v>
      </c>
      <c r="G23" s="51">
        <v>1</v>
      </c>
      <c r="H23" s="51" t="s">
        <v>217</v>
      </c>
      <c r="I23" s="51" t="s">
        <v>216</v>
      </c>
      <c r="J23" s="51">
        <v>1579</v>
      </c>
      <c r="K23" s="51" t="s">
        <v>275</v>
      </c>
      <c r="L23" s="51" t="s">
        <v>218</v>
      </c>
      <c r="M23" s="51" t="s">
        <v>225</v>
      </c>
      <c r="N23" s="51" t="s">
        <v>34</v>
      </c>
      <c r="O23" s="51">
        <v>20</v>
      </c>
      <c r="P23" s="52" t="str">
        <f>D23</f>
        <v>DS-TSHP1-FWM4-NXA</v>
      </c>
      <c r="Q23" s="52"/>
    </row>
    <row r="24" spans="1:17" s="53" customFormat="1">
      <c r="A24" s="51" t="s">
        <v>141</v>
      </c>
      <c r="B24" s="51" t="s">
        <v>14</v>
      </c>
      <c r="C24" s="51" t="s">
        <v>263</v>
      </c>
      <c r="D24" s="52" t="str">
        <f>CONCATENATE(IF(E24="M","MDS",IF(E24="G","GDS","DS")),"-",F24,G24,"-",L24,"-",N24)</f>
        <v>DS-TSHP1-FWM4-NXA</v>
      </c>
      <c r="E24" s="51"/>
      <c r="F24" s="51" t="s">
        <v>275</v>
      </c>
      <c r="G24" s="51">
        <v>1</v>
      </c>
      <c r="H24" s="51" t="s">
        <v>217</v>
      </c>
      <c r="I24" s="51" t="s">
        <v>216</v>
      </c>
      <c r="J24" s="51">
        <v>1579</v>
      </c>
      <c r="K24" s="51" t="s">
        <v>275</v>
      </c>
      <c r="L24" s="51" t="s">
        <v>218</v>
      </c>
      <c r="M24" s="51" t="s">
        <v>225</v>
      </c>
      <c r="N24" s="51" t="s">
        <v>34</v>
      </c>
      <c r="O24" s="51">
        <v>20</v>
      </c>
      <c r="P24" s="52" t="str">
        <f>D24</f>
        <v>DS-TSHP1-FWM4-NXA</v>
      </c>
      <c r="Q24" s="52"/>
    </row>
    <row r="25" spans="1:17" ht="6" customHeight="1">
      <c r="A25" s="43" t="s">
        <v>139</v>
      </c>
      <c r="B25" s="44"/>
      <c r="C25" s="44"/>
      <c r="D25" s="45"/>
      <c r="E25" s="44"/>
      <c r="F25" s="44"/>
      <c r="G25" s="44"/>
      <c r="H25" s="46"/>
      <c r="I25" s="46"/>
      <c r="J25" s="44"/>
      <c r="K25" s="46"/>
      <c r="L25" s="46"/>
      <c r="M25" s="46"/>
      <c r="N25" s="44"/>
      <c r="O25" s="44"/>
      <c r="P25" s="45"/>
      <c r="Q25" s="45"/>
    </row>
    <row r="26" spans="1:17" ht="6" customHeight="1">
      <c r="A26" s="43" t="s">
        <v>572</v>
      </c>
      <c r="B26" s="44"/>
      <c r="C26" s="44"/>
      <c r="D26" s="45"/>
      <c r="E26" s="44"/>
      <c r="F26" s="44"/>
      <c r="G26" s="44"/>
      <c r="H26" s="46"/>
      <c r="I26" s="46"/>
      <c r="J26" s="44"/>
      <c r="K26" s="46"/>
      <c r="L26" s="46"/>
      <c r="M26" s="46"/>
      <c r="N26" s="44"/>
      <c r="O26" s="44"/>
      <c r="P26" s="45"/>
      <c r="Q26" s="45"/>
    </row>
    <row r="27" spans="1:17" s="53" customFormat="1">
      <c r="A27" s="51" t="s">
        <v>142</v>
      </c>
      <c r="B27" s="51" t="s">
        <v>164</v>
      </c>
      <c r="C27" s="51" t="s">
        <v>280</v>
      </c>
      <c r="D27" s="52" t="str">
        <f t="shared" ref="D27:D32" si="13">CONCATENATE(IF(E27="M","MDS",IF(E27="G","GDS","DS")),"-",F27,G27,"-",L27,"-",N27)</f>
        <v>DS-VOLB1-POLB-NXA</v>
      </c>
      <c r="E27" s="51"/>
      <c r="F27" s="51" t="s">
        <v>282</v>
      </c>
      <c r="G27" s="51">
        <v>1</v>
      </c>
      <c r="H27" s="51" t="s">
        <v>284</v>
      </c>
      <c r="I27" s="51" t="s">
        <v>283</v>
      </c>
      <c r="J27" s="51">
        <v>1579</v>
      </c>
      <c r="K27" s="51" t="s">
        <v>282</v>
      </c>
      <c r="L27" s="51" t="s">
        <v>264</v>
      </c>
      <c r="M27" s="51" t="s">
        <v>269</v>
      </c>
      <c r="N27" s="51" t="s">
        <v>34</v>
      </c>
      <c r="O27" s="51">
        <v>50</v>
      </c>
      <c r="P27" s="52" t="str">
        <f t="shared" ref="P27:P32" si="14">D27</f>
        <v>DS-VOLB1-POLB-NXA</v>
      </c>
      <c r="Q27" s="52"/>
    </row>
    <row r="28" spans="1:17" s="53" customFormat="1">
      <c r="A28" s="51" t="s">
        <v>142</v>
      </c>
      <c r="B28" s="51" t="s">
        <v>164</v>
      </c>
      <c r="C28" s="51" t="s">
        <v>280</v>
      </c>
      <c r="D28" s="52" t="str">
        <f t="shared" si="13"/>
        <v>DS-VOLB2-POLB-NXA</v>
      </c>
      <c r="E28" s="51"/>
      <c r="F28" s="51" t="s">
        <v>282</v>
      </c>
      <c r="G28" s="51">
        <v>2</v>
      </c>
      <c r="H28" s="51" t="s">
        <v>284</v>
      </c>
      <c r="I28" s="51" t="s">
        <v>283</v>
      </c>
      <c r="J28" s="51">
        <v>1579</v>
      </c>
      <c r="K28" s="51" t="s">
        <v>282</v>
      </c>
      <c r="L28" s="51" t="s">
        <v>264</v>
      </c>
      <c r="M28" s="51" t="s">
        <v>269</v>
      </c>
      <c r="N28" s="51" t="s">
        <v>34</v>
      </c>
      <c r="O28" s="51">
        <v>50</v>
      </c>
      <c r="P28" s="52" t="str">
        <f t="shared" si="14"/>
        <v>DS-VOLB2-POLB-NXA</v>
      </c>
      <c r="Q28" s="52"/>
    </row>
    <row r="29" spans="1:17" s="53" customFormat="1">
      <c r="A29" s="51" t="s">
        <v>142</v>
      </c>
      <c r="B29" s="51" t="s">
        <v>164</v>
      </c>
      <c r="C29" s="51" t="s">
        <v>280</v>
      </c>
      <c r="D29" s="52" t="str">
        <f t="shared" si="13"/>
        <v>DS-VOLB1-FWM5-NXA</v>
      </c>
      <c r="E29" s="51"/>
      <c r="F29" s="51" t="s">
        <v>282</v>
      </c>
      <c r="G29" s="51">
        <v>1</v>
      </c>
      <c r="H29" s="51" t="s">
        <v>284</v>
      </c>
      <c r="I29" s="51" t="s">
        <v>283</v>
      </c>
      <c r="J29" s="51">
        <v>1579</v>
      </c>
      <c r="K29" s="51" t="s">
        <v>282</v>
      </c>
      <c r="L29" s="51" t="s">
        <v>221</v>
      </c>
      <c r="M29" s="51" t="s">
        <v>225</v>
      </c>
      <c r="N29" s="51" t="s">
        <v>34</v>
      </c>
      <c r="O29" s="51">
        <v>20</v>
      </c>
      <c r="P29" s="52" t="str">
        <f t="shared" si="14"/>
        <v>DS-VOLB1-FWM5-NXA</v>
      </c>
      <c r="Q29" s="52"/>
    </row>
    <row r="30" spans="1:17" s="53" customFormat="1">
      <c r="A30" s="51" t="s">
        <v>142</v>
      </c>
      <c r="B30" s="51" t="s">
        <v>164</v>
      </c>
      <c r="C30" s="51" t="s">
        <v>280</v>
      </c>
      <c r="D30" s="52" t="str">
        <f t="shared" si="13"/>
        <v>DS-VOLB2-FWM5-NXA</v>
      </c>
      <c r="E30" s="51"/>
      <c r="F30" s="51" t="s">
        <v>282</v>
      </c>
      <c r="G30" s="51">
        <v>2</v>
      </c>
      <c r="H30" s="51" t="s">
        <v>284</v>
      </c>
      <c r="I30" s="51" t="s">
        <v>283</v>
      </c>
      <c r="J30" s="51">
        <v>1579</v>
      </c>
      <c r="K30" s="51" t="s">
        <v>282</v>
      </c>
      <c r="L30" s="51" t="s">
        <v>221</v>
      </c>
      <c r="M30" s="51" t="s">
        <v>225</v>
      </c>
      <c r="N30" s="51" t="s">
        <v>34</v>
      </c>
      <c r="O30" s="51">
        <v>20</v>
      </c>
      <c r="P30" s="52" t="str">
        <f t="shared" si="14"/>
        <v>DS-VOLB2-FWM5-NXA</v>
      </c>
      <c r="Q30" s="52"/>
    </row>
    <row r="31" spans="1:17" s="53" customFormat="1">
      <c r="A31" s="51" t="s">
        <v>142</v>
      </c>
      <c r="B31" s="51" t="s">
        <v>164</v>
      </c>
      <c r="C31" s="51" t="s">
        <v>281</v>
      </c>
      <c r="D31" s="52" t="str">
        <f t="shared" si="13"/>
        <v>DS-VOLB1-FWM5-NXA</v>
      </c>
      <c r="E31" s="51"/>
      <c r="F31" s="51" t="s">
        <v>282</v>
      </c>
      <c r="G31" s="51">
        <v>1</v>
      </c>
      <c r="H31" s="51" t="s">
        <v>284</v>
      </c>
      <c r="I31" s="51" t="s">
        <v>283</v>
      </c>
      <c r="J31" s="51">
        <v>1579</v>
      </c>
      <c r="K31" s="51" t="s">
        <v>282</v>
      </c>
      <c r="L31" s="51" t="s">
        <v>221</v>
      </c>
      <c r="M31" s="51" t="s">
        <v>225</v>
      </c>
      <c r="N31" s="51" t="s">
        <v>34</v>
      </c>
      <c r="O31" s="51">
        <v>20</v>
      </c>
      <c r="P31" s="52" t="str">
        <f t="shared" si="14"/>
        <v>DS-VOLB1-FWM5-NXA</v>
      </c>
      <c r="Q31" s="52"/>
    </row>
    <row r="32" spans="1:17" s="53" customFormat="1">
      <c r="A32" s="51" t="s">
        <v>142</v>
      </c>
      <c r="B32" s="51" t="s">
        <v>164</v>
      </c>
      <c r="C32" s="51" t="s">
        <v>281</v>
      </c>
      <c r="D32" s="52" t="str">
        <f t="shared" si="13"/>
        <v>DS-VOLB2-FWM5-NXA</v>
      </c>
      <c r="E32" s="51"/>
      <c r="F32" s="51" t="s">
        <v>282</v>
      </c>
      <c r="G32" s="51">
        <v>2</v>
      </c>
      <c r="H32" s="51" t="s">
        <v>284</v>
      </c>
      <c r="I32" s="51" t="s">
        <v>283</v>
      </c>
      <c r="J32" s="51">
        <v>1579</v>
      </c>
      <c r="K32" s="51" t="s">
        <v>282</v>
      </c>
      <c r="L32" s="51" t="s">
        <v>221</v>
      </c>
      <c r="M32" s="51" t="s">
        <v>225</v>
      </c>
      <c r="N32" s="51" t="s">
        <v>34</v>
      </c>
      <c r="O32" s="51">
        <v>20</v>
      </c>
      <c r="P32" s="52" t="str">
        <f t="shared" si="14"/>
        <v>DS-VOLB2-FWM5-NXA</v>
      </c>
      <c r="Q32" s="52"/>
    </row>
    <row r="33" spans="1:17" ht="6" customHeight="1">
      <c r="A33" s="43" t="s">
        <v>139</v>
      </c>
      <c r="B33" s="44"/>
      <c r="C33" s="44"/>
      <c r="D33" s="45"/>
      <c r="E33" s="44"/>
      <c r="F33" s="44"/>
      <c r="G33" s="44"/>
      <c r="H33" s="46"/>
      <c r="I33" s="46"/>
      <c r="J33" s="44"/>
      <c r="K33" s="46"/>
      <c r="L33" s="46"/>
      <c r="M33" s="46"/>
      <c r="N33" s="44"/>
      <c r="O33" s="44"/>
      <c r="P33" s="45"/>
      <c r="Q33" s="45"/>
    </row>
  </sheetData>
  <autoFilter ref="A5:Q5"/>
  <mergeCells count="11">
    <mergeCell ref="Q3:Q5"/>
    <mergeCell ref="E4:E5"/>
    <mergeCell ref="N4:N5"/>
    <mergeCell ref="O4:O5"/>
    <mergeCell ref="P4:P5"/>
    <mergeCell ref="A3:A5"/>
    <mergeCell ref="B3:B5"/>
    <mergeCell ref="D3:D5"/>
    <mergeCell ref="E3:P3"/>
    <mergeCell ref="C3:C5"/>
    <mergeCell ref="F4:M4"/>
  </mergeCells>
  <phoneticPr fontId="2" type="noConversion"/>
  <pageMargins left="0.7" right="0.7" top="0.75" bottom="0.75" header="0.3" footer="0.3"/>
  <pageSetup paperSize="9" orientation="portrait" horizontalDpi="200" verticalDpi="200"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27"/>
  <sheetViews>
    <sheetView workbookViewId="0">
      <selection activeCell="F27" sqref="F27"/>
    </sheetView>
  </sheetViews>
  <sheetFormatPr defaultRowHeight="16.5"/>
  <cols>
    <col min="2" max="2" width="22.25" customWidth="1"/>
    <col min="3" max="3" width="18" bestFit="1" customWidth="1"/>
    <col min="4" max="4" width="35.125" customWidth="1"/>
    <col min="5" max="5" width="14.125" customWidth="1"/>
    <col min="6" max="6" width="15.875" customWidth="1"/>
    <col min="7" max="7" width="44.625" customWidth="1"/>
    <col min="8" max="8" width="36.375" customWidth="1"/>
  </cols>
  <sheetData>
    <row r="2" spans="1:8">
      <c r="A2" s="82" t="s">
        <v>380</v>
      </c>
      <c r="B2" s="82"/>
      <c r="C2" s="82"/>
      <c r="D2" s="82"/>
      <c r="E2" s="82"/>
      <c r="F2" s="82"/>
      <c r="G2" s="82"/>
      <c r="H2" s="82"/>
    </row>
    <row r="3" spans="1:8">
      <c r="A3" s="84" t="s">
        <v>381</v>
      </c>
      <c r="B3" s="234" t="s">
        <v>415</v>
      </c>
      <c r="C3" s="234" t="s">
        <v>420</v>
      </c>
      <c r="D3" s="233" t="s">
        <v>411</v>
      </c>
      <c r="E3" s="228" t="s">
        <v>317</v>
      </c>
      <c r="F3" s="86" t="s">
        <v>318</v>
      </c>
      <c r="G3" s="85" t="s">
        <v>645</v>
      </c>
      <c r="H3" s="86" t="s">
        <v>307</v>
      </c>
    </row>
    <row r="4" spans="1:8">
      <c r="A4" s="84" t="s">
        <v>382</v>
      </c>
      <c r="B4" s="234"/>
      <c r="C4" s="234"/>
      <c r="D4" s="234"/>
      <c r="E4" s="229"/>
      <c r="F4" s="86" t="s">
        <v>319</v>
      </c>
      <c r="G4" s="85" t="s">
        <v>306</v>
      </c>
      <c r="H4" s="86" t="s">
        <v>308</v>
      </c>
    </row>
    <row r="5" spans="1:8">
      <c r="A5" s="84" t="s">
        <v>383</v>
      </c>
      <c r="B5" s="234"/>
      <c r="C5" s="234"/>
      <c r="D5" s="234"/>
      <c r="E5" s="86" t="s">
        <v>320</v>
      </c>
      <c r="F5" s="86" t="s">
        <v>321</v>
      </c>
      <c r="G5" s="85" t="s">
        <v>309</v>
      </c>
      <c r="H5" s="86" t="s">
        <v>310</v>
      </c>
    </row>
    <row r="6" spans="1:8">
      <c r="A6" s="84" t="s">
        <v>384</v>
      </c>
      <c r="B6" s="234"/>
      <c r="C6" s="234"/>
      <c r="D6" s="234"/>
      <c r="E6" s="86" t="s">
        <v>422</v>
      </c>
      <c r="F6" s="86" t="s">
        <v>322</v>
      </c>
      <c r="G6" s="85" t="s">
        <v>311</v>
      </c>
      <c r="H6" s="86" t="s">
        <v>312</v>
      </c>
    </row>
    <row r="7" spans="1:8">
      <c r="A7" s="84" t="s">
        <v>385</v>
      </c>
      <c r="B7" s="234"/>
      <c r="C7" s="234"/>
      <c r="D7" s="234"/>
      <c r="E7" s="86" t="s">
        <v>423</v>
      </c>
      <c r="F7" s="86" t="s">
        <v>323</v>
      </c>
      <c r="G7" s="85" t="s">
        <v>313</v>
      </c>
      <c r="H7" s="86" t="s">
        <v>314</v>
      </c>
    </row>
    <row r="8" spans="1:8">
      <c r="A8" s="84" t="s">
        <v>386</v>
      </c>
      <c r="B8" s="234"/>
      <c r="C8" s="234"/>
      <c r="D8" s="234"/>
      <c r="E8" s="86" t="s">
        <v>324</v>
      </c>
      <c r="F8" s="86" t="s">
        <v>325</v>
      </c>
      <c r="G8" s="85" t="s">
        <v>315</v>
      </c>
      <c r="H8" s="86" t="s">
        <v>316</v>
      </c>
    </row>
    <row r="9" spans="1:8">
      <c r="A9" s="84" t="s">
        <v>387</v>
      </c>
      <c r="B9" s="234" t="s">
        <v>416</v>
      </c>
      <c r="C9" s="234" t="s">
        <v>326</v>
      </c>
      <c r="D9" s="225" t="s">
        <v>421</v>
      </c>
      <c r="E9" s="232" t="s">
        <v>424</v>
      </c>
      <c r="F9" s="79" t="s">
        <v>327</v>
      </c>
      <c r="G9" s="79" t="s">
        <v>329</v>
      </c>
      <c r="H9" s="79" t="s">
        <v>330</v>
      </c>
    </row>
    <row r="10" spans="1:8">
      <c r="A10" s="84" t="s">
        <v>388</v>
      </c>
      <c r="B10" s="234"/>
      <c r="C10" s="234" t="s">
        <v>326</v>
      </c>
      <c r="D10" s="226"/>
      <c r="E10" s="232"/>
      <c r="F10" s="79" t="s">
        <v>328</v>
      </c>
      <c r="G10" s="79" t="s">
        <v>329</v>
      </c>
      <c r="H10" s="79" t="s">
        <v>330</v>
      </c>
    </row>
    <row r="11" spans="1:8">
      <c r="A11" s="84" t="s">
        <v>389</v>
      </c>
      <c r="B11" s="234"/>
      <c r="C11" s="239" t="s">
        <v>425</v>
      </c>
      <c r="D11" s="226"/>
      <c r="E11" s="232" t="s">
        <v>361</v>
      </c>
      <c r="F11" s="79" t="s">
        <v>362</v>
      </c>
      <c r="G11" s="79" t="s">
        <v>365</v>
      </c>
      <c r="H11" s="79" t="s">
        <v>366</v>
      </c>
    </row>
    <row r="12" spans="1:8">
      <c r="A12" s="84" t="s">
        <v>390</v>
      </c>
      <c r="B12" s="234"/>
      <c r="C12" s="239"/>
      <c r="D12" s="226"/>
      <c r="E12" s="232"/>
      <c r="F12" s="79" t="s">
        <v>363</v>
      </c>
      <c r="G12" s="79" t="s">
        <v>365</v>
      </c>
      <c r="H12" s="79" t="s">
        <v>366</v>
      </c>
    </row>
    <row r="13" spans="1:8">
      <c r="A13" s="84" t="s">
        <v>391</v>
      </c>
      <c r="B13" s="234"/>
      <c r="C13" s="239"/>
      <c r="D13" s="226"/>
      <c r="E13" s="232"/>
      <c r="F13" s="79" t="s">
        <v>364</v>
      </c>
      <c r="G13" s="79" t="s">
        <v>367</v>
      </c>
      <c r="H13" s="79" t="s">
        <v>366</v>
      </c>
    </row>
    <row r="14" spans="1:8">
      <c r="A14" s="84" t="s">
        <v>392</v>
      </c>
      <c r="B14" s="234"/>
      <c r="C14" s="225" t="s">
        <v>408</v>
      </c>
      <c r="D14" s="226"/>
      <c r="E14" s="230" t="s">
        <v>426</v>
      </c>
      <c r="F14" s="79" t="s">
        <v>368</v>
      </c>
      <c r="G14" s="79" t="s">
        <v>370</v>
      </c>
      <c r="H14" s="79" t="s">
        <v>371</v>
      </c>
    </row>
    <row r="15" spans="1:8">
      <c r="A15" s="84" t="s">
        <v>393</v>
      </c>
      <c r="B15" s="234"/>
      <c r="C15" s="227"/>
      <c r="D15" s="227"/>
      <c r="E15" s="231"/>
      <c r="F15" s="79" t="s">
        <v>369</v>
      </c>
      <c r="G15" s="79" t="s">
        <v>372</v>
      </c>
      <c r="H15" s="79" t="s">
        <v>371</v>
      </c>
    </row>
    <row r="16" spans="1:8">
      <c r="A16" s="84" t="s">
        <v>394</v>
      </c>
      <c r="B16" s="235" t="s">
        <v>417</v>
      </c>
      <c r="C16" s="236" t="s">
        <v>427</v>
      </c>
      <c r="D16" s="222" t="s">
        <v>418</v>
      </c>
      <c r="E16" s="232" t="s">
        <v>331</v>
      </c>
      <c r="F16" s="79" t="s">
        <v>332</v>
      </c>
      <c r="G16" s="79" t="s">
        <v>333</v>
      </c>
      <c r="H16" s="79" t="s">
        <v>334</v>
      </c>
    </row>
    <row r="17" spans="1:8">
      <c r="A17" s="84" t="s">
        <v>395</v>
      </c>
      <c r="B17" s="235"/>
      <c r="C17" s="238"/>
      <c r="D17" s="223"/>
      <c r="E17" s="232"/>
      <c r="F17" s="79" t="s">
        <v>347</v>
      </c>
      <c r="G17" s="79" t="s">
        <v>333</v>
      </c>
      <c r="H17" s="79" t="s">
        <v>334</v>
      </c>
    </row>
    <row r="18" spans="1:8">
      <c r="A18" s="84" t="s">
        <v>396</v>
      </c>
      <c r="B18" s="235"/>
      <c r="C18" s="236" t="s">
        <v>405</v>
      </c>
      <c r="D18" s="223"/>
      <c r="E18" s="232" t="s">
        <v>335</v>
      </c>
      <c r="F18" s="79" t="s">
        <v>336</v>
      </c>
      <c r="G18" s="79" t="s">
        <v>339</v>
      </c>
      <c r="H18" s="79" t="s">
        <v>340</v>
      </c>
    </row>
    <row r="19" spans="1:8">
      <c r="A19" s="84" t="s">
        <v>397</v>
      </c>
      <c r="B19" s="235"/>
      <c r="C19" s="237"/>
      <c r="D19" s="223"/>
      <c r="E19" s="232"/>
      <c r="F19" s="79" t="s">
        <v>337</v>
      </c>
      <c r="G19" s="79" t="s">
        <v>339</v>
      </c>
      <c r="H19" s="79" t="s">
        <v>340</v>
      </c>
    </row>
    <row r="20" spans="1:8">
      <c r="A20" s="84" t="s">
        <v>398</v>
      </c>
      <c r="B20" s="235"/>
      <c r="C20" s="238"/>
      <c r="D20" s="223"/>
      <c r="E20" s="232"/>
      <c r="F20" s="79" t="s">
        <v>338</v>
      </c>
      <c r="G20" s="79" t="s">
        <v>339</v>
      </c>
      <c r="H20" s="79" t="s">
        <v>340</v>
      </c>
    </row>
    <row r="21" spans="1:8">
      <c r="A21" s="84" t="s">
        <v>399</v>
      </c>
      <c r="B21" s="235"/>
      <c r="C21" s="236" t="s">
        <v>406</v>
      </c>
      <c r="D21" s="223"/>
      <c r="E21" s="232" t="s">
        <v>341</v>
      </c>
      <c r="F21" s="79" t="s">
        <v>342</v>
      </c>
      <c r="G21" s="79" t="s">
        <v>344</v>
      </c>
      <c r="H21" s="79" t="s">
        <v>346</v>
      </c>
    </row>
    <row r="22" spans="1:8">
      <c r="A22" s="84" t="s">
        <v>400</v>
      </c>
      <c r="B22" s="235"/>
      <c r="C22" s="238"/>
      <c r="D22" s="223"/>
      <c r="E22" s="232"/>
      <c r="F22" s="79" t="s">
        <v>348</v>
      </c>
      <c r="G22" s="79" t="s">
        <v>343</v>
      </c>
      <c r="H22" s="79" t="s">
        <v>345</v>
      </c>
    </row>
    <row r="23" spans="1:8">
      <c r="A23" s="84" t="s">
        <v>401</v>
      </c>
      <c r="B23" s="235"/>
      <c r="C23" s="236" t="s">
        <v>407</v>
      </c>
      <c r="D23" s="223"/>
      <c r="E23" s="79" t="s">
        <v>349</v>
      </c>
      <c r="F23" s="79" t="s">
        <v>350</v>
      </c>
      <c r="G23" s="79" t="s">
        <v>355</v>
      </c>
      <c r="H23" s="79" t="s">
        <v>356</v>
      </c>
    </row>
    <row r="24" spans="1:8">
      <c r="A24" s="84" t="s">
        <v>402</v>
      </c>
      <c r="B24" s="235"/>
      <c r="C24" s="237"/>
      <c r="D24" s="223"/>
      <c r="E24" s="79" t="s">
        <v>351</v>
      </c>
      <c r="F24" s="79" t="s">
        <v>352</v>
      </c>
      <c r="G24" s="79" t="s">
        <v>357</v>
      </c>
      <c r="H24" s="79" t="s">
        <v>358</v>
      </c>
    </row>
    <row r="25" spans="1:8">
      <c r="A25" s="84" t="s">
        <v>403</v>
      </c>
      <c r="B25" s="235"/>
      <c r="C25" s="238"/>
      <c r="D25" s="224"/>
      <c r="E25" s="79" t="s">
        <v>353</v>
      </c>
      <c r="F25" s="79" t="s">
        <v>354</v>
      </c>
      <c r="G25" s="79" t="s">
        <v>359</v>
      </c>
      <c r="H25" s="79" t="s">
        <v>360</v>
      </c>
    </row>
    <row r="26" spans="1:8">
      <c r="A26" s="84" t="s">
        <v>183</v>
      </c>
      <c r="B26" s="83" t="s">
        <v>414</v>
      </c>
      <c r="C26" s="83" t="s">
        <v>410</v>
      </c>
      <c r="D26" s="80" t="s">
        <v>412</v>
      </c>
      <c r="E26" s="79" t="s">
        <v>429</v>
      </c>
      <c r="F26" s="79" t="s">
        <v>377</v>
      </c>
      <c r="G26" s="79" t="s">
        <v>378</v>
      </c>
      <c r="H26" s="79" t="s">
        <v>379</v>
      </c>
    </row>
    <row r="27" spans="1:8" ht="27" customHeight="1">
      <c r="A27" s="84" t="s">
        <v>404</v>
      </c>
      <c r="B27" s="83" t="s">
        <v>413</v>
      </c>
      <c r="C27" s="83" t="s">
        <v>409</v>
      </c>
      <c r="D27" s="80" t="s">
        <v>428</v>
      </c>
      <c r="E27" s="79" t="s">
        <v>373</v>
      </c>
      <c r="F27" s="79" t="s">
        <v>374</v>
      </c>
      <c r="G27" s="79" t="s">
        <v>375</v>
      </c>
      <c r="H27" s="79" t="s">
        <v>376</v>
      </c>
    </row>
  </sheetData>
  <mergeCells count="21">
    <mergeCell ref="B3:B8"/>
    <mergeCell ref="B9:B15"/>
    <mergeCell ref="B16:B25"/>
    <mergeCell ref="C18:C20"/>
    <mergeCell ref="C16:C17"/>
    <mergeCell ref="C14:C15"/>
    <mergeCell ref="C9:C10"/>
    <mergeCell ref="C21:C22"/>
    <mergeCell ref="C23:C25"/>
    <mergeCell ref="C11:C13"/>
    <mergeCell ref="C3:C8"/>
    <mergeCell ref="D16:D25"/>
    <mergeCell ref="D9:D15"/>
    <mergeCell ref="E3:E4"/>
    <mergeCell ref="E14:E15"/>
    <mergeCell ref="E21:E22"/>
    <mergeCell ref="E11:E13"/>
    <mergeCell ref="E9:E10"/>
    <mergeCell ref="E18:E20"/>
    <mergeCell ref="E16:E17"/>
    <mergeCell ref="D3:D8"/>
  </mergeCells>
  <phoneticPr fontId="2"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6.5"/>
  <sheetData/>
  <phoneticPr fontId="2"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27"/>
  <sheetViews>
    <sheetView workbookViewId="0">
      <selection activeCell="A34" sqref="A34:XFD59"/>
    </sheetView>
  </sheetViews>
  <sheetFormatPr defaultRowHeight="16.5"/>
  <cols>
    <col min="1" max="1" width="44.625" customWidth="1"/>
    <col min="2" max="2" width="36.375" customWidth="1"/>
    <col min="3" max="3" width="14.125" bestFit="1" customWidth="1"/>
    <col min="4" max="4" width="6" bestFit="1" customWidth="1"/>
    <col min="6" max="6" width="11" customWidth="1"/>
    <col min="7" max="7" width="13.125" customWidth="1"/>
  </cols>
  <sheetData>
    <row r="2" spans="1:8">
      <c r="A2" s="240" t="s">
        <v>612</v>
      </c>
      <c r="B2" s="240"/>
    </row>
    <row r="4" spans="1:8">
      <c r="A4" t="s">
        <v>613</v>
      </c>
      <c r="F4" t="s">
        <v>631</v>
      </c>
      <c r="G4" t="s">
        <v>20</v>
      </c>
      <c r="H4" t="s">
        <v>637</v>
      </c>
    </row>
    <row r="5" spans="1:8">
      <c r="A5" s="138" t="s">
        <v>614</v>
      </c>
      <c r="F5" t="s">
        <v>632</v>
      </c>
    </row>
    <row r="6" spans="1:8">
      <c r="B6" t="s">
        <v>615</v>
      </c>
    </row>
    <row r="7" spans="1:8">
      <c r="B7" t="s">
        <v>616</v>
      </c>
    </row>
    <row r="8" spans="1:8">
      <c r="B8" t="s">
        <v>617</v>
      </c>
    </row>
    <row r="9" spans="1:8">
      <c r="B9" t="s">
        <v>618</v>
      </c>
    </row>
    <row r="10" spans="1:8">
      <c r="B10" t="s">
        <v>619</v>
      </c>
    </row>
    <row r="11" spans="1:8">
      <c r="B11" t="s">
        <v>620</v>
      </c>
    </row>
    <row r="12" spans="1:8">
      <c r="B12" s="139" t="s">
        <v>621</v>
      </c>
      <c r="F12" t="s">
        <v>636</v>
      </c>
      <c r="G12" t="s">
        <v>633</v>
      </c>
    </row>
    <row r="13" spans="1:8">
      <c r="C13" t="s">
        <v>622</v>
      </c>
    </row>
    <row r="14" spans="1:8">
      <c r="C14" t="s">
        <v>623</v>
      </c>
    </row>
    <row r="15" spans="1:8">
      <c r="C15" t="s">
        <v>624</v>
      </c>
    </row>
    <row r="16" spans="1:8">
      <c r="C16" t="s">
        <v>625</v>
      </c>
    </row>
    <row r="17" spans="2:7">
      <c r="C17" s="139" t="s">
        <v>626</v>
      </c>
      <c r="F17" t="s">
        <v>635</v>
      </c>
      <c r="G17" t="s">
        <v>634</v>
      </c>
    </row>
    <row r="18" spans="2:7">
      <c r="C18" t="s">
        <v>627</v>
      </c>
    </row>
    <row r="19" spans="2:7">
      <c r="B19" s="139" t="s">
        <v>628</v>
      </c>
      <c r="F19" t="s">
        <v>636</v>
      </c>
      <c r="G19" t="s">
        <v>634</v>
      </c>
    </row>
    <row r="20" spans="2:7">
      <c r="C20" t="s">
        <v>622</v>
      </c>
    </row>
    <row r="21" spans="2:7">
      <c r="C21" s="139" t="s">
        <v>626</v>
      </c>
    </row>
    <row r="22" spans="2:7">
      <c r="C22" t="s">
        <v>623</v>
      </c>
    </row>
    <row r="23" spans="2:7">
      <c r="C23" t="s">
        <v>629</v>
      </c>
    </row>
    <row r="24" spans="2:7">
      <c r="C24" t="s">
        <v>630</v>
      </c>
    </row>
    <row r="25" spans="2:7">
      <c r="D25" s="139" t="s">
        <v>626</v>
      </c>
      <c r="F25" t="s">
        <v>635</v>
      </c>
      <c r="G25" t="s">
        <v>634</v>
      </c>
    </row>
    <row r="26" spans="2:7">
      <c r="D26" t="s">
        <v>623</v>
      </c>
    </row>
    <row r="27" spans="2:7">
      <c r="D27" t="s">
        <v>629</v>
      </c>
    </row>
  </sheetData>
  <mergeCells count="1">
    <mergeCell ref="A2:B2"/>
  </mergeCells>
  <phoneticPr fontId="2" type="noConversion"/>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워크시트</vt:lpstr>
      </vt:variant>
      <vt:variant>
        <vt:i4>10</vt:i4>
      </vt:variant>
    </vt:vector>
  </HeadingPairs>
  <TitlesOfParts>
    <vt:vector size="10" baseType="lpstr">
      <vt:lpstr>JVM&amp;WAS Option</vt:lpstr>
      <vt:lpstr>Domain별 코드 체계</vt:lpstr>
      <vt:lpstr>WAS Domain</vt:lpstr>
      <vt:lpstr>WAS Instance</vt:lpstr>
      <vt:lpstr>DataSource(개발)</vt:lpstr>
      <vt:lpstr>DataSource사용X</vt:lpstr>
      <vt:lpstr>AS-IS 도메인정보</vt:lpstr>
      <vt:lpstr>개발서버WAS Instance</vt:lpstr>
      <vt:lpstr>개발서버JBOSS DIR</vt:lpstr>
      <vt:lpstr>개발서버 EWS DIR</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samsung</dc:creator>
  <cp:lastModifiedBy>samsung</cp:lastModifiedBy>
  <dcterms:created xsi:type="dcterms:W3CDTF">2015-05-25T23:39:23Z</dcterms:created>
  <dcterms:modified xsi:type="dcterms:W3CDTF">2017-03-20T07:23:33Z</dcterms:modified>
</cp:coreProperties>
</file>